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 1 реализация ГП" sheetId="1" r:id="rId1"/>
    <sheet name="Прил 2 ОКС" sheetId="2" r:id="rId2"/>
  </sheets>
  <calcPr calcId="152511"/>
</workbook>
</file>

<file path=xl/calcChain.xml><?xml version="1.0" encoding="utf-8"?>
<calcChain xmlns="http://schemas.openxmlformats.org/spreadsheetml/2006/main">
  <c r="L288" i="2" l="1"/>
  <c r="L287" i="2"/>
  <c r="L286" i="2"/>
  <c r="J285" i="2"/>
  <c r="L285" i="2" s="1"/>
  <c r="K284" i="2"/>
  <c r="I284" i="2"/>
  <c r="H284" i="2"/>
  <c r="G284" i="2"/>
  <c r="L282" i="2"/>
  <c r="L281" i="2"/>
  <c r="L280" i="2"/>
  <c r="L279" i="2"/>
  <c r="K278" i="2"/>
  <c r="J278" i="2"/>
  <c r="I278" i="2"/>
  <c r="H278" i="2"/>
  <c r="G278" i="2"/>
  <c r="L276" i="2"/>
  <c r="L275" i="2"/>
  <c r="L274" i="2"/>
  <c r="L273" i="2"/>
  <c r="K272" i="2"/>
  <c r="J272" i="2"/>
  <c r="I272" i="2"/>
  <c r="H272" i="2"/>
  <c r="G272" i="2"/>
  <c r="I268" i="2"/>
  <c r="I267" i="2" s="1"/>
  <c r="H268" i="2"/>
  <c r="H267" i="2" s="1"/>
  <c r="G268" i="2"/>
  <c r="G267" i="2" s="1"/>
  <c r="L266" i="2"/>
  <c r="L265" i="2"/>
  <c r="L264" i="2"/>
  <c r="L263" i="2"/>
  <c r="K262" i="2"/>
  <c r="J262" i="2"/>
  <c r="I262" i="2"/>
  <c r="H262" i="2"/>
  <c r="G262" i="2"/>
  <c r="L260" i="2"/>
  <c r="J260" i="2"/>
  <c r="J258" i="2" s="1"/>
  <c r="I260" i="2"/>
  <c r="I258" i="2" s="1"/>
  <c r="H260" i="2"/>
  <c r="G260" i="2"/>
  <c r="G259" i="2"/>
  <c r="H258" i="2"/>
  <c r="J190" i="2"/>
  <c r="L190" i="2" s="1"/>
  <c r="J189" i="2"/>
  <c r="L189" i="2" s="1"/>
  <c r="J188" i="2"/>
  <c r="L188" i="2" s="1"/>
  <c r="J187" i="2"/>
  <c r="L187" i="2" s="1"/>
  <c r="K186" i="2"/>
  <c r="I186" i="2"/>
  <c r="H186" i="2"/>
  <c r="G186" i="2"/>
  <c r="J185" i="2"/>
  <c r="L185" i="2" s="1"/>
  <c r="J184" i="2"/>
  <c r="L184" i="2" s="1"/>
  <c r="J183" i="2"/>
  <c r="L183" i="2" s="1"/>
  <c r="J182" i="2"/>
  <c r="L182" i="2" s="1"/>
  <c r="K181" i="2"/>
  <c r="I181" i="2"/>
  <c r="H181" i="2"/>
  <c r="G181" i="2"/>
  <c r="J179" i="2"/>
  <c r="J178" i="2"/>
  <c r="J157" i="2" s="1"/>
  <c r="L157" i="2" s="1"/>
  <c r="J177" i="2"/>
  <c r="J176" i="2"/>
  <c r="K175" i="2"/>
  <c r="I175" i="2"/>
  <c r="H175" i="2"/>
  <c r="G175" i="2"/>
  <c r="J174" i="2"/>
  <c r="J173" i="2"/>
  <c r="J172" i="2"/>
  <c r="J171" i="2"/>
  <c r="G171" i="2"/>
  <c r="G170" i="2" s="1"/>
  <c r="K170" i="2"/>
  <c r="I170" i="2"/>
  <c r="H170" i="2"/>
  <c r="L158" i="2"/>
  <c r="I157" i="2"/>
  <c r="H157" i="2"/>
  <c r="G157" i="2"/>
  <c r="I156" i="2"/>
  <c r="H156" i="2"/>
  <c r="L156" i="2" s="1"/>
  <c r="G156" i="2"/>
  <c r="I155" i="2"/>
  <c r="H155" i="2"/>
  <c r="G155" i="2"/>
  <c r="G154" i="2" s="1"/>
  <c r="J153" i="2"/>
  <c r="L153" i="2" s="1"/>
  <c r="J152" i="2"/>
  <c r="L152" i="2" s="1"/>
  <c r="J151" i="2"/>
  <c r="L151" i="2" s="1"/>
  <c r="J150" i="2"/>
  <c r="L150" i="2" s="1"/>
  <c r="I149" i="2"/>
  <c r="J149" i="2" s="1"/>
  <c r="H149" i="2"/>
  <c r="G149" i="2"/>
  <c r="J148" i="2"/>
  <c r="L148" i="2" s="1"/>
  <c r="L147" i="2"/>
  <c r="L146" i="2"/>
  <c r="L145" i="2"/>
  <c r="K144" i="2"/>
  <c r="I144" i="2"/>
  <c r="J144" i="2" s="1"/>
  <c r="L144" i="2" s="1"/>
  <c r="H144" i="2"/>
  <c r="G144" i="2"/>
  <c r="L143" i="2"/>
  <c r="L142" i="2"/>
  <c r="L141" i="2"/>
  <c r="L140" i="2"/>
  <c r="K139" i="2"/>
  <c r="J139" i="2"/>
  <c r="I139" i="2"/>
  <c r="H139" i="2"/>
  <c r="G139" i="2"/>
  <c r="I137" i="2"/>
  <c r="G137" i="2"/>
  <c r="J136" i="2"/>
  <c r="I136" i="2"/>
  <c r="H136" i="2"/>
  <c r="H133" i="2" s="1"/>
  <c r="G136" i="2"/>
  <c r="K135" i="2"/>
  <c r="I135" i="2"/>
  <c r="I7" i="2" s="1"/>
  <c r="H135" i="2"/>
  <c r="G135" i="2"/>
  <c r="K134" i="2"/>
  <c r="K133" i="2" s="1"/>
  <c r="J134" i="2"/>
  <c r="L134" i="2" s="1"/>
  <c r="I134" i="2"/>
  <c r="H134" i="2"/>
  <c r="G134" i="2"/>
  <c r="J131" i="2"/>
  <c r="J110" i="2" s="1"/>
  <c r="G131" i="2"/>
  <c r="G110" i="2" s="1"/>
  <c r="J129" i="2"/>
  <c r="G129" i="2"/>
  <c r="L128" i="2"/>
  <c r="K128" i="2"/>
  <c r="I128" i="2"/>
  <c r="H128" i="2"/>
  <c r="G125" i="2"/>
  <c r="G109" i="2" s="1"/>
  <c r="K124" i="2"/>
  <c r="K108" i="2" s="1"/>
  <c r="J124" i="2"/>
  <c r="G124" i="2"/>
  <c r="L123" i="2"/>
  <c r="K123" i="2"/>
  <c r="J123" i="2"/>
  <c r="I123" i="2"/>
  <c r="H123" i="2"/>
  <c r="L118" i="2"/>
  <c r="K118" i="2"/>
  <c r="J118" i="2"/>
  <c r="I118" i="2"/>
  <c r="H118" i="2"/>
  <c r="G118" i="2"/>
  <c r="L117" i="2"/>
  <c r="L116" i="2"/>
  <c r="L115" i="2"/>
  <c r="L114" i="2"/>
  <c r="K113" i="2"/>
  <c r="J113" i="2"/>
  <c r="I113" i="2"/>
  <c r="H113" i="2"/>
  <c r="G113" i="2"/>
  <c r="I110" i="2"/>
  <c r="H110" i="2"/>
  <c r="I108" i="2"/>
  <c r="H108" i="2"/>
  <c r="H107" i="2" s="1"/>
  <c r="L106" i="2"/>
  <c r="L105" i="2"/>
  <c r="L104" i="2"/>
  <c r="L103" i="2"/>
  <c r="K102" i="2"/>
  <c r="J102" i="2"/>
  <c r="I102" i="2"/>
  <c r="H102" i="2"/>
  <c r="L102" i="2" s="1"/>
  <c r="G102" i="2"/>
  <c r="L101" i="2"/>
  <c r="L100" i="2"/>
  <c r="L99" i="2"/>
  <c r="L98" i="2"/>
  <c r="K97" i="2"/>
  <c r="J97" i="2"/>
  <c r="I97" i="2"/>
  <c r="H97" i="2"/>
  <c r="G97" i="2"/>
  <c r="L93" i="2"/>
  <c r="K92" i="2"/>
  <c r="J92" i="2"/>
  <c r="I92" i="2"/>
  <c r="H92" i="2"/>
  <c r="G92" i="2"/>
  <c r="L88" i="2"/>
  <c r="K87" i="2"/>
  <c r="J87" i="2"/>
  <c r="I87" i="2"/>
  <c r="H87" i="2"/>
  <c r="G87" i="2"/>
  <c r="L86" i="2"/>
  <c r="L85" i="2"/>
  <c r="L83" i="2"/>
  <c r="K82" i="2"/>
  <c r="J82" i="2"/>
  <c r="I82" i="2"/>
  <c r="H82" i="2"/>
  <c r="G82" i="2"/>
  <c r="L81" i="2"/>
  <c r="L80" i="2"/>
  <c r="L78" i="2"/>
  <c r="K77" i="2"/>
  <c r="J77" i="2"/>
  <c r="I77" i="2"/>
  <c r="H77" i="2"/>
  <c r="G77" i="2"/>
  <c r="L76" i="2"/>
  <c r="L75" i="2"/>
  <c r="L73" i="2"/>
  <c r="K72" i="2"/>
  <c r="J72" i="2"/>
  <c r="I72" i="2"/>
  <c r="H72" i="2"/>
  <c r="G72" i="2"/>
  <c r="L71" i="2"/>
  <c r="L70" i="2"/>
  <c r="L68" i="2"/>
  <c r="K67" i="2"/>
  <c r="J67" i="2"/>
  <c r="I67" i="2"/>
  <c r="H67" i="2"/>
  <c r="G67" i="2"/>
  <c r="L66" i="2"/>
  <c r="L65" i="2"/>
  <c r="L63" i="2"/>
  <c r="K62" i="2"/>
  <c r="J62" i="2"/>
  <c r="I62" i="2"/>
  <c r="H62" i="2"/>
  <c r="G62" i="2"/>
  <c r="L61" i="2"/>
  <c r="L60" i="2"/>
  <c r="L58" i="2"/>
  <c r="K57" i="2"/>
  <c r="J57" i="2"/>
  <c r="I57" i="2"/>
  <c r="H57" i="2"/>
  <c r="G57" i="2"/>
  <c r="L55" i="2"/>
  <c r="L53" i="2"/>
  <c r="L52" i="2"/>
  <c r="K51" i="2"/>
  <c r="J51" i="2"/>
  <c r="I51" i="2"/>
  <c r="H51" i="2"/>
  <c r="G51" i="2"/>
  <c r="L50" i="2"/>
  <c r="L48" i="2"/>
  <c r="L47" i="2"/>
  <c r="K46" i="2"/>
  <c r="J46" i="2"/>
  <c r="I46" i="2"/>
  <c r="H46" i="2"/>
  <c r="G46" i="2"/>
  <c r="L45" i="2"/>
  <c r="L43" i="2"/>
  <c r="L42" i="2"/>
  <c r="K41" i="2"/>
  <c r="J41" i="2"/>
  <c r="I41" i="2"/>
  <c r="H41" i="2"/>
  <c r="G41" i="2"/>
  <c r="L40" i="2"/>
  <c r="L38" i="2"/>
  <c r="L37" i="2"/>
  <c r="K36" i="2"/>
  <c r="J36" i="2"/>
  <c r="I36" i="2"/>
  <c r="H36" i="2"/>
  <c r="E36" i="2" s="1"/>
  <c r="G36" i="2"/>
  <c r="L35" i="2"/>
  <c r="L33" i="2"/>
  <c r="L32" i="2"/>
  <c r="K31" i="2"/>
  <c r="J31" i="2"/>
  <c r="I31" i="2"/>
  <c r="H31" i="2"/>
  <c r="G31" i="2"/>
  <c r="I29" i="2"/>
  <c r="H29" i="2"/>
  <c r="H9" i="2" s="1"/>
  <c r="G29" i="2"/>
  <c r="J28" i="2"/>
  <c r="L28" i="2" s="1"/>
  <c r="I28" i="2"/>
  <c r="I8" i="2" s="1"/>
  <c r="H28" i="2"/>
  <c r="G28" i="2"/>
  <c r="J27" i="2"/>
  <c r="H27" i="2"/>
  <c r="J26" i="2"/>
  <c r="I26" i="2"/>
  <c r="H26" i="2"/>
  <c r="G26" i="2"/>
  <c r="K20" i="2"/>
  <c r="J20" i="2"/>
  <c r="I20" i="2"/>
  <c r="H20" i="2"/>
  <c r="L20" i="2" s="1"/>
  <c r="G20" i="2"/>
  <c r="G17" i="2"/>
  <c r="G12" i="2" s="1"/>
  <c r="H16" i="2"/>
  <c r="H15" i="2" s="1"/>
  <c r="G16" i="2"/>
  <c r="G15" i="2" s="1"/>
  <c r="K15" i="2"/>
  <c r="J15" i="2"/>
  <c r="I15" i="2"/>
  <c r="J11" i="2"/>
  <c r="I11" i="2"/>
  <c r="I6" i="2" s="1"/>
  <c r="H11" i="2"/>
  <c r="H10" i="2" s="1"/>
  <c r="G11" i="2"/>
  <c r="K10" i="2"/>
  <c r="J10" i="2"/>
  <c r="K9" i="2"/>
  <c r="K8" i="2"/>
  <c r="K7" i="2"/>
  <c r="G7" i="2" l="1"/>
  <c r="G8" i="2"/>
  <c r="L36" i="2"/>
  <c r="L41" i="2"/>
  <c r="L51" i="2"/>
  <c r="L62" i="2"/>
  <c r="L72" i="2"/>
  <c r="L82" i="2"/>
  <c r="L92" i="2"/>
  <c r="I107" i="2"/>
  <c r="G128" i="2"/>
  <c r="J135" i="2"/>
  <c r="L10" i="2"/>
  <c r="L15" i="2"/>
  <c r="J25" i="2"/>
  <c r="E46" i="2"/>
  <c r="E51" i="2"/>
  <c r="E57" i="2"/>
  <c r="E62" i="2"/>
  <c r="E67" i="2"/>
  <c r="E72" i="2"/>
  <c r="E77" i="2"/>
  <c r="E82" i="2"/>
  <c r="E87" i="2"/>
  <c r="E97" i="2"/>
  <c r="L113" i="2"/>
  <c r="L139" i="2"/>
  <c r="L262" i="2"/>
  <c r="L272" i="2"/>
  <c r="J284" i="2"/>
  <c r="L11" i="2"/>
  <c r="G9" i="2"/>
  <c r="J170" i="2"/>
  <c r="G258" i="2"/>
  <c r="J268" i="2"/>
  <c r="K107" i="2"/>
  <c r="K6" i="2"/>
  <c r="I10" i="2"/>
  <c r="G25" i="2"/>
  <c r="L26" i="2"/>
  <c r="E31" i="2"/>
  <c r="J128" i="2"/>
  <c r="J108" i="2"/>
  <c r="L108" i="2" s="1"/>
  <c r="G133" i="2"/>
  <c r="K5" i="2"/>
  <c r="I133" i="2"/>
  <c r="I154" i="2"/>
  <c r="I5" i="2" s="1"/>
  <c r="L258" i="2"/>
  <c r="L46" i="2"/>
  <c r="L57" i="2"/>
  <c r="L67" i="2"/>
  <c r="L77" i="2"/>
  <c r="L87" i="2"/>
  <c r="L97" i="2"/>
  <c r="G123" i="2"/>
  <c r="L149" i="2"/>
  <c r="L284" i="2"/>
  <c r="H8" i="2"/>
  <c r="I9" i="2"/>
  <c r="I25" i="2"/>
  <c r="L27" i="2"/>
  <c r="E92" i="2"/>
  <c r="H7" i="2"/>
  <c r="L136" i="2"/>
  <c r="J155" i="2"/>
  <c r="L278" i="2"/>
  <c r="J8" i="2"/>
  <c r="L110" i="2"/>
  <c r="J154" i="2"/>
  <c r="L155" i="2"/>
  <c r="G10" i="2"/>
  <c r="L31" i="2"/>
  <c r="H25" i="2"/>
  <c r="L25" i="2" s="1"/>
  <c r="E102" i="2"/>
  <c r="J133" i="2"/>
  <c r="L133" i="2" s="1"/>
  <c r="H154" i="2"/>
  <c r="J175" i="2"/>
  <c r="H6" i="2"/>
  <c r="J7" i="2"/>
  <c r="L7" i="2" s="1"/>
  <c r="J9" i="2"/>
  <c r="L9" i="2" s="1"/>
  <c r="G108" i="2"/>
  <c r="G107" i="2" s="1"/>
  <c r="J181" i="2"/>
  <c r="L181" i="2" s="1"/>
  <c r="J186" i="2"/>
  <c r="L186" i="2" s="1"/>
  <c r="J267" i="2" l="1"/>
  <c r="L267" i="2" s="1"/>
  <c r="L268" i="2"/>
  <c r="J6" i="2"/>
  <c r="L6" i="2" s="1"/>
  <c r="H5" i="2"/>
  <c r="L154" i="2"/>
  <c r="J107" i="2"/>
  <c r="L107" i="2" s="1"/>
  <c r="L8" i="2"/>
  <c r="G6" i="2"/>
  <c r="G5" i="2"/>
  <c r="J5" i="2" l="1"/>
  <c r="L5" i="2" s="1"/>
  <c r="G15" i="1" l="1"/>
  <c r="G20" i="1"/>
  <c r="G25" i="1"/>
  <c r="G30" i="1"/>
  <c r="G35" i="1"/>
  <c r="G40" i="1"/>
  <c r="G45" i="1"/>
  <c r="G50" i="1"/>
  <c r="G55" i="1"/>
  <c r="G60" i="1"/>
  <c r="G65" i="1"/>
  <c r="G70" i="1"/>
  <c r="G75" i="1"/>
  <c r="G80" i="1"/>
  <c r="G85" i="1"/>
  <c r="G90" i="1"/>
  <c r="G95" i="1"/>
  <c r="G10" i="1"/>
  <c r="E7" i="1" l="1"/>
  <c r="E8" i="1"/>
  <c r="E9" i="1"/>
  <c r="E6" i="1"/>
  <c r="D7" i="1"/>
  <c r="D8" i="1"/>
  <c r="D9" i="1"/>
  <c r="D6" i="1"/>
  <c r="I5" i="1"/>
  <c r="J5" i="1"/>
  <c r="H5" i="1"/>
  <c r="F99" i="1"/>
  <c r="F98" i="1"/>
  <c r="F97" i="1"/>
  <c r="F96" i="1"/>
  <c r="E95" i="1"/>
  <c r="D95" i="1"/>
  <c r="F94" i="1"/>
  <c r="F93" i="1"/>
  <c r="F92" i="1"/>
  <c r="F91" i="1"/>
  <c r="E90" i="1"/>
  <c r="D90" i="1"/>
  <c r="F89" i="1"/>
  <c r="F88" i="1"/>
  <c r="F87" i="1"/>
  <c r="F86" i="1"/>
  <c r="E85" i="1"/>
  <c r="D85" i="1"/>
  <c r="F84" i="1"/>
  <c r="F83" i="1"/>
  <c r="F82" i="1"/>
  <c r="F81" i="1"/>
  <c r="E80" i="1"/>
  <c r="D80" i="1"/>
  <c r="F59" i="1"/>
  <c r="F58" i="1"/>
  <c r="F57" i="1"/>
  <c r="F56" i="1"/>
  <c r="E55" i="1"/>
  <c r="D55" i="1"/>
  <c r="F54" i="1"/>
  <c r="F53" i="1"/>
  <c r="F52" i="1"/>
  <c r="F51" i="1"/>
  <c r="E50" i="1"/>
  <c r="D50" i="1"/>
  <c r="F95" i="1" l="1"/>
  <c r="F50" i="1"/>
  <c r="F85" i="1"/>
  <c r="F80" i="1"/>
  <c r="F90" i="1"/>
  <c r="F55" i="1"/>
  <c r="F49" i="1"/>
  <c r="F48" i="1"/>
  <c r="F47" i="1"/>
  <c r="F46" i="1"/>
  <c r="E45" i="1"/>
  <c r="D45" i="1"/>
  <c r="F45" i="1" l="1"/>
  <c r="F44" i="1"/>
  <c r="F43" i="1"/>
  <c r="F42" i="1"/>
  <c r="F41" i="1"/>
  <c r="E40" i="1"/>
  <c r="D40" i="1"/>
  <c r="F39" i="1"/>
  <c r="F38" i="1"/>
  <c r="F37" i="1"/>
  <c r="F36" i="1"/>
  <c r="E35" i="1"/>
  <c r="D35" i="1"/>
  <c r="F40" i="1" l="1"/>
  <c r="F35" i="1"/>
  <c r="F34" i="1"/>
  <c r="F33" i="1"/>
  <c r="F32" i="1"/>
  <c r="F31" i="1"/>
  <c r="E30" i="1"/>
  <c r="D30" i="1"/>
  <c r="F30" i="1" l="1"/>
  <c r="F29" i="1"/>
  <c r="F28" i="1"/>
  <c r="F27" i="1"/>
  <c r="F26" i="1"/>
  <c r="E25" i="1"/>
  <c r="D25" i="1"/>
  <c r="F25" i="1" l="1"/>
  <c r="F24" i="1" l="1"/>
  <c r="F23" i="1"/>
  <c r="F22" i="1"/>
  <c r="F21" i="1"/>
  <c r="E20" i="1"/>
  <c r="D20" i="1"/>
  <c r="F20" i="1" l="1"/>
  <c r="F19" i="1"/>
  <c r="F18" i="1"/>
  <c r="F17" i="1"/>
  <c r="F16" i="1"/>
  <c r="E15" i="1"/>
  <c r="D15" i="1"/>
  <c r="F15" i="1" l="1"/>
  <c r="E10" i="1"/>
  <c r="F14" i="1"/>
  <c r="F13" i="1"/>
  <c r="F12" i="1"/>
  <c r="F11" i="1"/>
  <c r="D10" i="1"/>
  <c r="F10" i="1" l="1"/>
  <c r="F79" i="1"/>
  <c r="F78" i="1"/>
  <c r="F77" i="1"/>
  <c r="F76" i="1"/>
  <c r="E75" i="1"/>
  <c r="D75" i="1"/>
  <c r="F75" i="1" l="1"/>
  <c r="E65" i="1"/>
  <c r="D65" i="1"/>
  <c r="E60" i="1"/>
  <c r="D60" i="1"/>
  <c r="E70" i="1"/>
  <c r="D70" i="1"/>
  <c r="F74" i="1" l="1"/>
  <c r="F73" i="1"/>
  <c r="F72" i="1"/>
  <c r="F71" i="1"/>
  <c r="F70" i="1"/>
  <c r="F69" i="1"/>
  <c r="F68" i="1"/>
  <c r="F67" i="1"/>
  <c r="F66" i="1"/>
  <c r="F65" i="1"/>
  <c r="F63" i="1" l="1"/>
  <c r="F64" i="1"/>
  <c r="F62" i="1" l="1"/>
  <c r="F61" i="1"/>
  <c r="F60" i="1"/>
  <c r="G5" i="1" l="1"/>
  <c r="F7" i="1"/>
  <c r="F9" i="1"/>
  <c r="D5" i="1"/>
  <c r="E5" i="1"/>
  <c r="F6" i="1"/>
  <c r="F8" i="1"/>
  <c r="F5" i="1" l="1"/>
</calcChain>
</file>

<file path=xl/sharedStrings.xml><?xml version="1.0" encoding="utf-8"?>
<sst xmlns="http://schemas.openxmlformats.org/spreadsheetml/2006/main" count="723" uniqueCount="297">
  <si>
    <t>Приложение № 1</t>
  </si>
  <si>
    <t xml:space="preserve"> № п/п</t>
  </si>
  <si>
    <t>Объемы и источники финансирования 
(тыс. руб.)</t>
  </si>
  <si>
    <t>Степень освоения средств</t>
  </si>
  <si>
    <t>Источник</t>
  </si>
  <si>
    <t>Фактическое исполнение</t>
  </si>
  <si>
    <t>Всего</t>
  </si>
  <si>
    <t>Всего по государственным программам</t>
  </si>
  <si>
    <t>ОБ</t>
  </si>
  <si>
    <t>ФБ</t>
  </si>
  <si>
    <t>МБ</t>
  </si>
  <si>
    <t>ВБС</t>
  </si>
  <si>
    <t>Сведения о ходе реализации мероприятий государственных программ Мурманской области за 6 месяцев 2025 года</t>
  </si>
  <si>
    <t>План на 2025 год</t>
  </si>
  <si>
    <t>Выполнены без отклонений от КТ</t>
  </si>
  <si>
    <t>Выполнены с отклонениями от КТ</t>
  </si>
  <si>
    <t>Ответственные, соисполнители</t>
  </si>
  <si>
    <t>Причины низкой степени освоения средств, невыполнения мероприятий (результатов)</t>
  </si>
  <si>
    <t>Государственная программа "Экономический потенциал"</t>
  </si>
  <si>
    <t>МинАрктики МО, Минстрой МО, Минтранс МО, Минэнерго и ЖКХ МО, Комитет по тарифному регулированию МО, Комитет по туризму МО, Комитет по конкурентной политике МО</t>
  </si>
  <si>
    <t>Государственная программа Мурманской области</t>
  </si>
  <si>
    <t>Государственная программа "Информационное общество"</t>
  </si>
  <si>
    <t>Государственная программа "Финансы"</t>
  </si>
  <si>
    <t>Минцифра МО, Минтрудсоцразвития МО, Минюст МО</t>
  </si>
  <si>
    <t>Минфин МО, Комитет государственного и финансового контроля МО, Комитет по конкурентной политике МО</t>
  </si>
  <si>
    <t>Рекомендации</t>
  </si>
  <si>
    <r>
      <t>Низкая степень освоения средств по ГП обусловлена не освоением средств, выделенных на инфраструктурные проекты Мурманской области с привлеченными средствами инфраструктурного бюджетного кредита. Также рассматривается вопрос по изменению показателей одного из инфраструктурного проекта или его замене на другой. Имеется некритичное отклонение по ряду контрольных точек (КТ) в связи с переносом реализации мероприятий (результатов) на 2 полугодие 2025 года. Не исполнение мероприятия (результата) КПМ "Развитие туризма в Мурманской области" в связи с несостоявшимся конкурсом на предоставлении субсидии субъектам туриндустрии (отсутствие заявок).</t>
    </r>
    <r>
      <rPr>
        <b/>
        <sz val="12"/>
        <color indexed="8"/>
        <rFont val="Times New Roman"/>
        <family val="1"/>
        <charset val="204"/>
      </rPr>
      <t/>
    </r>
  </si>
  <si>
    <t xml:space="preserve">Низкая степень освоения средств обусловлена сроком исполнения договоров на приобретение товаров, работ, услуг (в основном сроки завершения работ по договорам запланированы на 4 квартал текущего года). Произошла задержка начала проведения закупочных процедур учреждениями, подведомственными Минтрудсоцразвитию МО, в связи с реорганизацией сети указанных учреждений. Перенос мероприятия (результата) на развитие функционала АИС «МФЦ Дело» на 4 квартал 2025 года.
</t>
  </si>
  <si>
    <t>В паспорта комплексов процессных мероприятий «Комплексная поддержка субъектов малого и среднего предпринимательства и организаций инфраструктуры поддержки субъектов малого и среднего предпринимательства» и «Обеспечение развития внешнеэкономических, международных и межрегиональных связей Мурманской области» внести изменения в планы реализации по переносу сроков исполнения КТ в связи с переносом реализации ряда мероприятий на 3-4 квартал 2025 года.</t>
  </si>
  <si>
    <t>Продолжить своевременное обеспечение реализации мероприятий (результатов) согласно планам-графикам договоров / контрактов.</t>
  </si>
  <si>
    <t>Государственная программа "Государственное управление и гражданское общество"</t>
  </si>
  <si>
    <t>Аппарат ПМО, Министерство внутренней политики МО, Минимущество МО, Мининформ МО, Минюст МО, Минстрой МО, Комитет молодежной политики МО, Управление по реализации антикоррупционной политики МО</t>
  </si>
  <si>
    <t>Государственная программа "Здравоохранение"</t>
  </si>
  <si>
    <t>Минздрав МО, Минстрой МО, Минрегбез МО, Комитет молодежной политики МО</t>
  </si>
  <si>
    <t>Государственная программа "Образование и наука"</t>
  </si>
  <si>
    <t>Минобр МО, Минкульт МО, Минстрой МО</t>
  </si>
  <si>
    <t>Государственная программа "Социальная поддержка"</t>
  </si>
  <si>
    <t>Минтрудсоцразвития МО, Минобр МО, Минздрав МО, Минкульт МО, Минстрой МО</t>
  </si>
  <si>
    <t>Выплаты и компенсации носят заявительный характер, потребность по поступившим заявлениям удовлетворена в полном объеме за отчетный период. В связи с проведенной в первом квартале реорганизацией сети подведомственных учреждений, произошла задержка начала проведения закупочных процедур на развитие материально-технической базы и обеспечения комплексной безопасности учреждений социальной защиты населения. При этом на отчетную дату контракты / договоры заключены, оплата по факту поставок и выполнения работ.</t>
  </si>
  <si>
    <t>Государственная программа "Физическая культура и спорт"</t>
  </si>
  <si>
    <t>Минспорт МО, Минстрой МО</t>
  </si>
  <si>
    <t>Государственная программа "Культура"</t>
  </si>
  <si>
    <t>Минкульт МО, Минстрой МО</t>
  </si>
  <si>
    <t>Государственная программа "Занятость и труд"</t>
  </si>
  <si>
    <t>Государственная программа "Комфортное жилье и городская среда"</t>
  </si>
  <si>
    <t>Минтрудсоцразвития МО, Минздрав МО</t>
  </si>
  <si>
    <t>Минстрой МО, Минэнерго и ЖКХ МО, Минград МО, Минтранс МО, Министерство государственного жилищного и строительного надзора МО</t>
  </si>
  <si>
    <t>Государственная программа "Общественная безопасность"</t>
  </si>
  <si>
    <t>Минрегбез МО, Минкульт МО, Мининформ МО, Минобр МО, Министерство внутренней политики МО, Минтрудсоцразвития МО, Минздрав МО</t>
  </si>
  <si>
    <t>Государственная программа "Природные ресурсы и экология"</t>
  </si>
  <si>
    <t>Государственная программа "Рыбное и сельское хозяйство"</t>
  </si>
  <si>
    <t>Государственная программа "Транспортная система"</t>
  </si>
  <si>
    <t>Государственная программа "Формирование современной городской среды"</t>
  </si>
  <si>
    <t>Государственная программа "Развитие энергетики и коммунального хозяйства"</t>
  </si>
  <si>
    <t>Государственная программа "Развитие ветеринарной службы"</t>
  </si>
  <si>
    <t>Продолжить своевременное обеспечение реализации мероприятий (результатов) согласно установленным контрольным точкам в планах реализации паспортов комплексов процессных мероприятий.</t>
  </si>
  <si>
    <t>Имеется некритичное отклонение по ряду контрольных точек (КТ) в связи с более поздним заключением договоров. Отмена реализации одного мероприятия (результата) по разработке ПД на проведение капитального ремонта здания типографии и прилегающей территории. Низкое освоение средств ФБ и МБ по объектам капитального строительства (в связи с устраненеием замечаний по отчету по результатам технического обследования здания ГОАУК «Мурманский областной Дворец культуры и народного творчества им. С.М. Кирова»), кроме того некоторые акты выполненных работ в первом полугодии предоставляются после отчетной даты.</t>
  </si>
  <si>
    <t>Внести изменения в наименования некоторых контрольных точек и видов подтверждающих документов в паспортах структурных элементов в связи с выявленными несоответствиями при составлении отчета (устранить технические неточности). Минстрою МО в рамках данной государственной программы принять меры по повышению уровня кассового исполнения денежных средств.</t>
  </si>
  <si>
    <t xml:space="preserve">Низкая степень освоения средств ФБ обусловлена заявительным принципом некоторых мероприятий (результатов), социальные выплаты гражданам, признанным в установленном порядке безработными, осуществляются на заявительной основе. Выполнение некоторых мероприятий (результатов) с отклонениями от контрольных точек связано с длительным процессом согласования проекта нпа (ввиду позднего опубликования федерального нпа)  и изменением сроков проведения конкурсного отбора (было принято решение о проведении одного, но более длительного по времени проведения, отбора. Сроки проведения такого отбора выходили за пределы 1 полугодия 2025 года). </t>
  </si>
  <si>
    <t>Повысить качество мониторинга реализации государственной программы с целью обеспечения своевременности необходимых корректирующих ее действий.</t>
  </si>
  <si>
    <t>Основная часть мероприятий (результатов) реализуется в течение года путем ежемесячного исполнения заключенных контрактов и договоров, оплата по которым производится в установленные сроки. Исполнение мероприятий (результатов) по осуществлению финансового обеспечения затрат на реализацию возложенных на полицию обязанностей по охране общественного порядка и обеспечению общественной безопасности по предметам совместного ведения РФ и субъектов РФ перенесено на второе полугодие 2025 года в связи с заключением соглашения в конце отчетного периода. Имеется расхождение плановых объемов финансирования со сводной бюджетной росписью на отчетную дату в связи с выделением дополнительных средств из резервного фонда Правительства Мурманской области.</t>
  </si>
  <si>
    <t>Обеспечить своевременное внесение изменений в государственную программу и комплексы процессных мероприятий в части уточнения плановых объемов финансирования, результатов реализации соответствующих мероприятий (результатов).</t>
  </si>
  <si>
    <t>Мероприятия (результаты) реализуются в течение года в плановом порядке. Критических отклонений по исполнению мероприятий (результатов) за отчетный период не имеется.</t>
  </si>
  <si>
    <t>Минэнерго и ЖКХ МО, Минстрой МО</t>
  </si>
  <si>
    <t>В настоящее время наименования мероприятий (результатов) по реконструкции котельных (тепловых сетей котельных), реализуемым в рамках иного регионального проекта, не позволяют направлять денежные средства СКК (специальный казначейский кредит) на оплату разработки ПСД и проведение экспертизы. Прорабатывается вопрос имения наименования мероприятий (результатов) путем дополнения их словами "Проектирование с прохождением экспертизы", а также переноса сроков реализации указанных мероприятий (результатов). Подготавливается обращение в ФРТ.</t>
  </si>
  <si>
    <t>Низкая степень освоения денежных средств МБ и ВБС связана с реализацией региональных проектов, уровень освоения средств по которым соответствует графикам выполнения работ на объектах. Реализация мероприятий (результатов) государственной программы, в том числе бюджетоемких, осуществляется в течение года и будет продолжена во 2 полугодии 2025 года. Отклонения в датах наступления контрольных точек в большей степени связано с необходимостью внесения изменений в нормативно-правовую базу, регламентирующую исполнение мероприятий (результатов), а также сложностями, возникшими у участников реализации мероприятий (результатов) при осуществлении деятельности в ГИИС "Электронный бюджет".</t>
  </si>
  <si>
    <t>Своевременно вносить изменения в регламентирующую исполнение мероприятий (результатов) нормативную правовую базу в целях минимизации рисков неисполнения в срок установленных в структурных элементах контрольных точек.</t>
  </si>
  <si>
    <t>Низкая степень освоения средств в основном связана с необходимостью переноса сроков исполнения некоторых мероприятий (результатов), в частности по объектам строительства и капитальным ремонтам, а также в связи с тем, что исполнение большинства мероприятий (результатов)  запланировано на второе полугодие 2025 года.</t>
  </si>
  <si>
    <t>Обеспечить своевременную реализацию мероприятий (результатов) согласно установленным контрольным точкам в планах реализации паспортов структурных элементов. Также внести изменения в паспорта структурных элементов, скорректировав сроки исполнения контрольных точек после принятия решения о переносе сроков реализации некоторых мероприятий (результатов).</t>
  </si>
  <si>
    <t>Минград МО</t>
  </si>
  <si>
    <t>Низкая степень освоения средств обусловлена длительными конкурсными процедурами и задержками в подписании соглашений. В соответствии с условиями муниципальных контрактов освоение средств предусмотрено после завершения работ в 3-4 кварталах 2025 года.</t>
  </si>
  <si>
    <t>Усилить контроль за своевременностью и качеством выполнения мероприятий (результатов) органами местного самоуправления. Принять меры по повышению уровня кассового исполнения денежных средств.</t>
  </si>
  <si>
    <t>Скорректировать виды подтверждающих документов по некоторым контрольным точкам в планах реализации комплексов процессных мероприятий в связи с выявленными несоответствиями при составлении отчета.</t>
  </si>
  <si>
    <t>Комитет по ветеринарии МО</t>
  </si>
  <si>
    <t>Мероприятия (результаты) реализуются в течение года в плановом порядке. Основными причинами низкой степени освоения средств являются: 1) по мероприятиям (результатам) сферы обращения с животными без владельцев связано с тем, что перечисление межбюджетных трансфертов (субвенций) производится в соответствии с фактически поступившими в адрес Комитета по ветеринарии МО заявками от муниципальных образований Мурманской области; 2) по социальной поддержка ветеринарных специалистов, работающих в сельских населенных пунктах, связано с тем, что выплаты производятся согласно фактически представленным документам от работников учреждений.</t>
  </si>
  <si>
    <t>Усилить контроль за своевременностью и качеством выполнения мероприятий (результатов) органами местного самоуправления.</t>
  </si>
  <si>
    <t>Выполнение мероприятий (результатов) государственной программы осуществляется в течение 2025 года с учетом фактических расходов. По объектам строительства, реконструкции и капитального ремонта отмечается низкая степень освоения средств в связи с отсутствием актов выполненных работ от подрядчиков для осуществления оплаты по ним. Отклонения в датах наступления контрольных точек по мероприятиям (результатам) структурных элементов связаны с проблемами, возникшими у участников их реализации при заключении соглашений в ГИИС "Электронный бюджет".</t>
  </si>
  <si>
    <t>Обеспечить своевременную реализацию мероприятий (результатов) согласно утвержденным контрольным точкам. Оперативно вносить изменения в паспорта структурных элементов государственной программы, в целях сокращения количества мероприятий (результатов), имеющих отклонения в сроках наступления контрольных точек.</t>
  </si>
  <si>
    <t>Реализация мероприятий (результатов) государственной программы осуществляется в течение года и предполагает освоение большей части финансирования во втором полугодии 2025 года. По ряду мероприятий (результатов) отмечается задержка сроков разработки проектных документаций и получения заключений государственных экспертиз, а также отклонение от графика исполнения контрольных точек.</t>
  </si>
  <si>
    <t xml:space="preserve">Усилить контроль за соблюдением сроков, установленных в контрольных точках мероприятий (результатов) структурных элементов, в целях своевременной реализации мероприятий (результатов) государственной программы и сокращению рисков их неисполнения. </t>
  </si>
  <si>
    <t xml:space="preserve">Минприроды МО
</t>
  </si>
  <si>
    <t>Учитывая сезонный характер и временные затраты на реализацию, большая часть мероприятий (результатов) государственной программы будет выполнена во 2 полугодии 2025 года. Отклонение в датах наступления контрольных точек по государственным контрактам отмечается в связи с длительным ожиданием получения коммерческих предложений для обоснования НМЦК и отсутствием заявок на выполнение работ.</t>
  </si>
  <si>
    <t>Продолжить реализацию мероприятий (результатов) государственной программы, соблюдать сроки наступления контрольных точек для своевременного исполнения запланированных на текущий год мероприятий (результатов).</t>
  </si>
  <si>
    <t xml:space="preserve">Минприроды Мурманской области, Минстрой Мурманской области, Минград МО
</t>
  </si>
  <si>
    <t xml:space="preserve">Низкая степень освоения средств ФБ и МБ обусловлена тем, что перечисление средств по мероприятиям (результатам) ИРП "Обустройство населенных пунктов сельской местности объектами социальной и инженерной инфраструктуры" осуществляется во 2 полугодии 2025 года в соответствии с кассовым планом, согласованным ГРБС и муниципальными образованиями.
По ряду мероприятий (результатов) имеются отклонения фактических дат наступления контрольных точек от запланированных в связи с длительными процедурами отбора получателей государственно поддержки или отсутствием заявителей, а также необходимостью внесения изменений в нормативную правовую базу, регламентирующую реализацию мероприятий (результатов).
</t>
  </si>
  <si>
    <t xml:space="preserve">В целях соблюдения сроков реализации контрольных точек мероприятий (результатов) государственной программы следует обеспечить своевременное внесение изменений в нормативную правовую базу, регламентирующую исполнение мероприятий (результатов). </t>
  </si>
  <si>
    <t xml:space="preserve">Низкая степень освоения средств по государственной программе связана с реализацией мероприятий (результатов) в течение года и освоением большего объема финансирования во 2 полугодии 2025 года. По состоянию на отчетную дату межбюджетные трансферты перечислены в пределах сумм, необходимых для оплаты денежных обязательств по расходам получателей средств соответствующего бюджета. Выплаты по ряду мероприятий (результатов) носят заявительный характер.
Отклонения по срокам наступления контрольных точек обусловлены, в основном, более поздним заключением соглашений, а также сложностями, возникшими у участников реализации мероприятий (результатов) при осуществлении деятельности в ГИИС "Электронный бюджет".
</t>
  </si>
  <si>
    <t>Следует обеспечить своевременную реализацию мероприятий (результатов) государственной программы согласно установленным в планах реализации контрольным точкам. При возникновении рисков несоблюдения установленных сроков контрольных точек, обеспечить оперативное внесение изменений в паспорта структурных элементов.</t>
  </si>
  <si>
    <t>Минтранс МО, Минобр МО, Минрегбез МО</t>
  </si>
  <si>
    <t>Основная часть мероприятий (результатов) реализуется в течение года согласно заключенным контрактам, оплата по которым производится в установленные сроки (основное кассовое исполнение запланировано на второе полугодие 2025 года). В связи с необходимостью корректировки проектной документации по реконструкции автомобильной дороги общего пользования регионального значения Апатиты – Кировск, км 2+688-км 14+314, реализацию мероприятия (результата) планируется продлить до 2028 года. Соответствующие изменения в государственную программу будут внесены после одобрения заявки на изменение параметров ИБК.</t>
  </si>
  <si>
    <r>
      <t>Выполнение  мероприятий (результатов)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</si>
  <si>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Мероприятия (результаты), КТ у которых отсутствуют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</si>
  <si>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Учитываются мероприятия (результаты) по которым наступили сроки исполнения контрольных точек на отчетную дату</t>
    </r>
  </si>
  <si>
    <r>
      <rPr>
        <vertAlign val="superscript"/>
        <sz val="10"/>
        <color theme="1"/>
        <rFont val="Times New Roman"/>
        <family val="1"/>
        <charset val="204"/>
      </rPr>
      <t>2</t>
    </r>
    <r>
      <rPr>
        <sz val="10"/>
        <color theme="1"/>
        <rFont val="Times New Roman"/>
        <family val="1"/>
        <charset val="204"/>
      </rPr>
      <t xml:space="preserve"> Учитываются мероприятия (результаты) с типом «обеспечение текущей деятельности», по которым контрольные точки не устанавливаются. В рамках мероприятий (результатов) с указанным типом предусматривается содержание исполнительных органов Мурманской области, а также подведомственных им учреждений</t>
    </r>
  </si>
  <si>
    <t>Приложение №2</t>
  </si>
  <si>
    <t>Информация о ходе работ на объектах капитального строительства за 6 месяцев 2025 года</t>
  </si>
  <si>
    <t>№ п/п</t>
  </si>
  <si>
    <t>Сроки выполнения работ</t>
  </si>
  <si>
    <t>Общая стоимость объекта, тыс. рублей</t>
  </si>
  <si>
    <t>Источ-ник</t>
  </si>
  <si>
    <t>Общие кассовые расходы по состоянию на 01.01.2025, тыс. рублей</t>
  </si>
  <si>
    <t>Техническая готовность объекта</t>
  </si>
  <si>
    <t xml:space="preserve">Краткая характеристика работ, выполненных за отчетный период, причины отставания </t>
  </si>
  <si>
    <t xml:space="preserve">Предусмотрено программой </t>
  </si>
  <si>
    <t>Кассовые расходы</t>
  </si>
  <si>
    <t>Выполнено за счет средств 2025 года</t>
  </si>
  <si>
    <t>Выполнено за счет остатков средств прошлых лет</t>
  </si>
  <si>
    <t>Степень выполнения</t>
  </si>
  <si>
    <t xml:space="preserve">ОБ </t>
  </si>
  <si>
    <t xml:space="preserve">ФБ </t>
  </si>
  <si>
    <t xml:space="preserve">Государственная программа "Здравоохранение" </t>
  </si>
  <si>
    <t>Иной региональный проект «Строительство и реконструкция зданий учреждений здравоохранения»</t>
  </si>
  <si>
    <t>Реконструкция комплекса зданий ГОБУЗ "Мурманский областной онкологический диспансер" по адресу: г. Мурманск, ул. Академика Павлова, 
д. 6, корп. 2. 1 этап. Хирургический корпус</t>
  </si>
  <si>
    <t>Министерство строительства Мурманской области, 
ГОКУ "УКС Мурманской области"</t>
  </si>
  <si>
    <t xml:space="preserve">2020 - 2021 разработка ПСД,
2022 - 2025 - строительство
</t>
  </si>
  <si>
    <t xml:space="preserve">3 725 835,5
</t>
  </si>
  <si>
    <t>Строительная готовность - 43,8 %. 
Техническая готовность 51%. Выполнено: устройство монолитного каркаса здания, устройство наружных стен из газобетонных блоков c 1-8 этаж, заполнение оконных проемов устройство, наружных сетей теплоснабжения, устройство вертикального трубопровода отопления на 2-4 этажах, устройство внутренних перегородок из блока на 2, 6 этажах.</t>
  </si>
  <si>
    <t xml:space="preserve">Строительство надземного перехода между хирургическим корпусом и главным корпусом ГОБУЗ  «Мурманский областной онкологический диспансер" по адресу: г. Мурманск, ул. Академика Павлова, 
д. 6 корпус. 2 </t>
  </si>
  <si>
    <t xml:space="preserve">2024 - 2025 - разработка проектной документации, строительство
</t>
  </si>
  <si>
    <t xml:space="preserve">63 685,6
(предполагаемая (предельная) стоимость объекта, определенная с применением укрупненного норматива цены строительства)
</t>
  </si>
  <si>
    <t xml:space="preserve">Контракт по объекту заключен на проектирование и строительство надземного перехода в 2024 году., а также выплачен аванс в рамках контракта.
По состоянию на 01.07.2025 прорабатывались  проектные решение по месту примыкания перехода  к главному корпусу здания Онкодиспансера с учетом соблюдений противопожарныж и строительных норм. </t>
  </si>
  <si>
    <t>ВБС»</t>
  </si>
  <si>
    <t>Государственная программа  "Развитие энергетики и коммунального хозяйства"</t>
  </si>
  <si>
    <t>Региональный проект «Модернизация коммунальной инфраструктуры"</t>
  </si>
  <si>
    <t>Реконструкция водовода от озера Лучломполо к хозяйственно-питьевым резервуарам п.г.т. Никель Печенгского муниципального округа</t>
  </si>
  <si>
    <t>Минэнерго и ЖКХ МО, ГОУП "Мурманскводоканал"</t>
  </si>
  <si>
    <t>2025 год - начало и завершение работ</t>
  </si>
  <si>
    <t>26.06.2025 заключено дополнительное соглашение № 069-09-2025-060/2  к Соглашению о предоставлении субсидии из федерального бюджета бюджету субъекта Российской Федерации от 19.12.2024 № 069-09-2025-060. В июле 2025 года планируется заключить соглашение с ГОУП "Мурманскводоканал"</t>
  </si>
  <si>
    <t>Реконструкция водоводов от ВНС-1 подъема до очистных сооружений холодного водоснабжения  г. Оленегорска</t>
  </si>
  <si>
    <t>Реконструкция водовода Ду=400мм по ул. Строителей-Гайдара-Космонавтов в г. Апатиты</t>
  </si>
  <si>
    <t>2025 год - начало работ, 2026 год - завершение работ.</t>
  </si>
  <si>
    <t>Развитие сети холодного водоснабжения и водоотведения в рамках строительства на территории, расположенной в Первомайском административном округе города Мурманска  на земельном участке 38 га в районе улицы Шабалина</t>
  </si>
  <si>
    <t>Развитие сети холодного водоснабжения и водоотведения в рамках комплексной застройки на территории  в городе Мурманске (Жилстрой)</t>
  </si>
  <si>
    <t>Мероприятие исключено из перечня. Соответсвующие изменения в ГП будут внесены после согласования Проектным комитетом.</t>
  </si>
  <si>
    <t>Иной региональный проект «Модернизация объектов энергоснабжения, водоснабжения, водоотведения»</t>
  </si>
  <si>
    <t>Реконструкция котельной № 13/73 
пгт. Печенга Печенгский муниципальный округ Мурманской области</t>
  </si>
  <si>
    <t>Минстрой МО, Печенгский муниципальный округ, концессионер</t>
  </si>
  <si>
    <t>2024, 2025 год – разработка ПД, 2025 год - строительство, 2025 год - ввод объекта в эксплуатацию</t>
  </si>
  <si>
    <t>Заключено концессионное соглашение (11.10.2024), средства доведены концессионеру, Решается вопрос о переносе сроков мероприятия на 2027 год. Скорректированы кассовые расходы ВБС по состоянию на 01.01.2025.</t>
  </si>
  <si>
    <t>Реконструкция котельной № 13/55 
пгт. Печенга Печенгский муниципальный округ Мурманской области</t>
  </si>
  <si>
    <t>Минстрой МО,  Печенгский муниципальный округ, концессионер</t>
  </si>
  <si>
    <t>Реконструкция котельной № 4/152 ж/д ст. Печенга Печенгский муниципальный округ Мурманской области</t>
  </si>
  <si>
    <t>Реконструкция котельной № 42/138 н.п. Спутник Печенгский муниципальный округ Мурманской области</t>
  </si>
  <si>
    <t>Реконструкция тепловой сети котельной № 13/73 ул. Стадионная пгт. Печенга Печенгский муниципальный округ Мурманской области. Сеть ЦО и ГВС по участкам: От котельной до узла распределения точка «А» в районе ТК-1; От точки «А» в районе ТК-1 в сторону МКД № 7 до МКД № 8 через МКД № 5 с ответвлением на МКД № 10; От точки «А» в районе ТК-1 в сторону МКД № 4 до МКД № 9 через МКД № 3</t>
  </si>
  <si>
    <t>Реконструкция тепловой сети котельной
№ 13/55 пгт. Печенга Печенгский муниципальный округ Мурманской области. Сеть ЦО по участкам: От ТК в районе котельной № 13/55 до угла МКД № 10; От МКД № 10 до МКД № 6 через МКД № 12 и МКД № 11; Ответвления от МКД № 10 до МКД № 8, от МКД № 12 до МКД № 7; от МКД № 11 до МКД № 6; От угла МКД № 11 до Дома офицеров; От угла МКД № 11 до МКД № 4; От МКД № 4 до МКД № 3</t>
  </si>
  <si>
    <t xml:space="preserve">Разработка проектной документации для реконструкции централизованной системы водоснабжения п.г.т. Печенга и железнодорожной станции "Печенга" Печенгского муниципального округа Мурманской области </t>
  </si>
  <si>
    <t>Минстрой МО, ГОУП "Мурманскводоканал"</t>
  </si>
  <si>
    <t>2024, 2025 год – разработка ПД</t>
  </si>
  <si>
    <t>Проектирование будет осуществлять ГОУП «Мурманскводоканал» по итогам передачи объектов, находящихся в собственности Минобороны России, в областную собственность с последующей передачей в хозяйственное ведение областному предприятию. В настоящее время передача не завершена и решается вопрос о переносе мероприятия на 2026 год.</t>
  </si>
  <si>
    <t xml:space="preserve">Разработка проектной документации для  реконструкция централизованной системы водоотведения п.г.т. Печенга Печенгского муниципального округа Мурманской области </t>
  </si>
  <si>
    <t>Разработка проектной документации для реконструкции централизованной системы водоснабжения н.п. Спутник Печенгского муниципального округа Мурманской области</t>
  </si>
  <si>
    <t>Разработка проектной документации для реконструкции централизованной системы водоотведения н.п. Спутник Печенгского муниципального округа Мурманской области</t>
  </si>
  <si>
    <t>Иной региональный проект "Развитие спортивной инфраструктуры Мурманской области"</t>
  </si>
  <si>
    <t>Строительство объекта "ПСД на ФОК закрытого типа в районе дома 13 по ул. Старостина" (в рамках концессионного соглашения по строительству и эксплуатации объекта соглашения в соответствии с Федеральным законом от 21.07.2005 № 115-ФЗ "О концессионных соглашениях"</t>
  </si>
  <si>
    <t>Минстрой МО, Минспорт МО, АО Корпорация развития МО</t>
  </si>
  <si>
    <t>2023 - 2033 строительство и эксплуатация</t>
  </si>
  <si>
    <t xml:space="preserve"> Строительная готовность - 6,9%.
Выполнен  вывоз грунта (частично). Планируется корректировка проектной документации.</t>
  </si>
  <si>
    <t>Строительство объекта "Быстровозводимый спортивно-оздоровительный комплекс с плавательным бассейном и тренажерным залом" на Кольском проспекте в г. Мурманске" (в рамках концессионного соглашения по строительству и эксплуатации объекта соглашения в соответствии с Федеральным законом от 21.07.2005 № 115-ФЗ "О концессионных соглашениях")</t>
  </si>
  <si>
    <t xml:space="preserve"> Строительная готовность - 7,2%.
Ведутся подготовительные работы. Осуществляется корректировка проектной документации.</t>
  </si>
  <si>
    <t>«Строительство крытого бассейна в ЗАТО г. Североморск»</t>
  </si>
  <si>
    <t>Минстрой МО, ГОКУ УКС</t>
  </si>
  <si>
    <t>2023 - 2025 строительство</t>
  </si>
  <si>
    <t>Строительная готовность 29,3 %.
Техническая готовность-94%
В завершающей стадии работы по отделке помещений. Выполняются работы по благоустройству, выполнено асфальтирование тротуаров.</t>
  </si>
  <si>
    <t>Спортивный комплекс с плавательным бассейном "Энергетик", расположенный по адресу: Мурманская область, Кольский район, пгт. Мурмаши, ул. Мисякова, д. 6</t>
  </si>
  <si>
    <t>Минстрой МО, администрация муниципального образования Кольский муниципальный район МО</t>
  </si>
  <si>
    <t>2023 - 2025 приобретение</t>
  </si>
  <si>
    <t>Произведена оплата по договору на приобретение объекта.</t>
  </si>
  <si>
    <t>Иной региональный проект «Строительство, реконструкция и капитальный ремонт учреждений культуры, образования в сфере культуры и архивов»</t>
  </si>
  <si>
    <t>Реконструкция с элементами реставрации в целях приспособления к современному использованию здания ГОАУК «Мурманский областной Дворец культуры и народного творчества им. С.М. Кирова»</t>
  </si>
  <si>
    <t>Министерство строительства Мурманской области, ГОКУ «Управление капитального строительства Мурманской области», ГОАУК «Мурманский областной Дворец культуры и народного творчества им. С.М. Кирова»</t>
  </si>
  <si>
    <t>2022-2025 гг-разработка ПД, экспертиза, 2026-2028 гг- реконструкция</t>
  </si>
  <si>
    <t xml:space="preserve">Техническое обследование здания в стадии завершения. Обследователем ООО «Севтехпроект» 21.05.2025 застройщику (ДК Кирова) на согласование предоставлены результаты обследования. 23.05.2025 застройщиком выданы замечания. Проведены обсуждения замечаний застройщика специалистами Минстроя МО и обследователя. На 02.06.2025 ООО "Севертехпроект" загрузил в экспертизу откорректированное техническое обследование задание. 20.06.2025 экспертизой выданы 97 замечаний. Из них 8 критический устранение которых предполагается большое количество времени. 25.06.2025 ООО "Севертехпроект" провели совещание с ГОКУ УКС по устранению критических замечаний. В настоящее время  ООО "Севертехпроект" устраняет замечания. Планируемая дата устранения замечаний и загрузка в экспертизу отчета планируется 04.07.2025. </t>
  </si>
  <si>
    <t xml:space="preserve"> (в ценах соответствующих лет на основании сведений о проекте-аналоге)</t>
  </si>
  <si>
    <t>Реконструкция объекта культурного наследия регионального значения «Здание первого хибиногорского кинотеатра «Большевик» в городе Кировске в целях приспособления для современного использования в качестве кино-культурного центра</t>
  </si>
  <si>
    <t>Министерство строительства  МО, администрация муниципального образования муниципальный округ г. Кировск с подведомственной территорией</t>
  </si>
  <si>
    <t>2017- 2022 гг- разработка ПД, экспертиза, 2022 - 2025 гг-реконструкция</t>
  </si>
  <si>
    <t>Техническая готовность объекта составляет 94%. На данный момент выполняется: покраска, шпаклёвка, установка ограждений на кровле и обкатка вентиляции, укладка плитки, сборка мебели, устройство пожарных систем в планетарии, протяжка слаботочных кабелей по всему объекту, покраска фасада.</t>
  </si>
  <si>
    <t>Строительство Дома культуры в сельском поселении Алакуртти</t>
  </si>
  <si>
    <t>Министерство строительства  Мурманской области, ГОКУ «Управление капитального строительства Мурманской области»</t>
  </si>
  <si>
    <t>2022 г- разработка ПД, 2023-2024 гг - строительство объекта, 2025 г - завершение строительства, ввод в эксплуатацию</t>
  </si>
  <si>
    <t>По столбцу "Выполнено за счет средств, не использованных на начало года, тыс. руб." отражен зачет авансовых платежей, прошедших по кассе в предыдущие периоды.
Фактическая строительная готовность - 58%.Выполнено: устройство строительного городка, работы по бетонированию монолитной фундаментной плиты, плитной части ленточных фундаментов и столбчатых фундаментов, монолитные работы, кладка внутренних стен, перегородок; гидро-теплоизоляция стен подвала; произведено устройство котлована для прокладки трубопровода устройство перегородок (подвал), устройство наружных сетей (траншеи), устройство крылец, кладка стен кирпичом (1 этаж). Выполняются работы по устройству перегородок 2 этажа, устройство сетей подключения водоснабжения, отделочные работы цокольного этажа, установка дверей цокольного этажа.</t>
  </si>
  <si>
    <t>Государственная программа"Комфортное жилье и городская среда"</t>
  </si>
  <si>
    <t>Иной региональный проект «Строительство жилья»</t>
  </si>
  <si>
    <t>25</t>
  </si>
  <si>
    <t>Строительство системы водоотведения по объекту: Жилой дом в г. Мурманске по ул. Зеленой</t>
  </si>
  <si>
    <t xml:space="preserve">Минстрой МО, муниципальное образование город Мурманск
</t>
  </si>
  <si>
    <t xml:space="preserve">2025 год - строительство
</t>
  </si>
  <si>
    <t>Контракт заключен 20.06.2025. В соответствии с условиями контракта срок выполнение работ 15.09.2025. Авансирование не предусмотрено.</t>
  </si>
  <si>
    <t>26</t>
  </si>
  <si>
    <t>Строительство системы водоотведения по объекту: Жилой дом в г. Мурманске по ул. Полярные Зори</t>
  </si>
  <si>
    <t xml:space="preserve">2024 год - разработка ПД;
2025 год - строительство
</t>
  </si>
  <si>
    <t>Получено положительное заключение гос. экспертизы в части проверки достоверности определения сметной стоимости от 03.03.2025 № 51-1-1-2-010988-2025. Контракт заключен 16.06.2025, В соответствии с условиями контракта выплаен аванс в размере 693 481,25 руб. Окончание работ - 30.08.2025.</t>
  </si>
  <si>
    <t>27</t>
  </si>
  <si>
    <t>Мероприятие (результат) «Построен жилой дом в г. Мурманске по ул. Кирпичной,  2 этап», всего</t>
  </si>
  <si>
    <t>Минстрой МО, ГОКУ «УКС МО»</t>
  </si>
  <si>
    <t>Разработка ПСД
в 2023 году, строительство
в 2023 - 2025 годах</t>
  </si>
  <si>
    <t>МКД № 4: техническая готовность 6 %, подрядчик выполняет работы по подготовке щебеночного основания под плиту фундамента. 
Задержка связана с необходимостью изменения границ земельного участка (смещением красных линий), необходимостью сноса аварийных МКД, распологающихся на территории определенной под застройку в 2023 году, а также длительным сроком получения положительного заключения в отношении проектной документации.
Согласно заключенного контракта срок завершения строительства декабрь 2025</t>
  </si>
  <si>
    <t>28</t>
  </si>
  <si>
    <t>Мероприятие (результат) «Завершено строительство МКД в г. Заполярном по ул. Ленинградская в районе дома 4»всего</t>
  </si>
  <si>
    <t xml:space="preserve">Минстрой МО, Печенгский муниципальный округ
</t>
  </si>
  <si>
    <t xml:space="preserve">"Разработка ПСД
в 2024 году, строительство
в 2025 году"
</t>
  </si>
  <si>
    <t xml:space="preserve">Техническая готовность 6%.
В настоящее время подрядчик выполнил демонтаж внутренних перегородок и завершает утепление фасада. 
</t>
  </si>
  <si>
    <t>Иной региональный проект «Обустройство мест захоронения»</t>
  </si>
  <si>
    <t>29</t>
  </si>
  <si>
    <t>«Построено новое городское кладбище в районе п.г.т. Сафоново Мурманской области »</t>
  </si>
  <si>
    <t xml:space="preserve">Минстрой МО, МО городской округ ЗАТО г. Североморск Мурманской области
</t>
  </si>
  <si>
    <t xml:space="preserve">"2020 - разработка ПСД, 2021 - строительство - 1 этап.
2024-2025- строительство - 2,4 этапы  "
</t>
  </si>
  <si>
    <t xml:space="preserve">287 066,10
</t>
  </si>
  <si>
    <t>Выполнены работы по выемке грунта и планировке. Подходит к завершению завоз песка и планировка территории. Далее будут выполняться работы по благоустройству</t>
  </si>
  <si>
    <t>30</t>
  </si>
  <si>
    <t xml:space="preserve">«Построено новое городское кладбище муниципального образования ЗАТО Александровск»  </t>
  </si>
  <si>
    <t xml:space="preserve">Минстрой МО, МО городской округ ЗАТО Александровск Мурманской области
</t>
  </si>
  <si>
    <t xml:space="preserve"> 2024-2025 разработка проектной документации, прохождение экспертизы, строительство
</t>
  </si>
  <si>
    <t xml:space="preserve">138 145,2 с учетом затрат на разработку ПСД (на основании укрупненного норматива)
</t>
  </si>
  <si>
    <t>Выполнены работы по планировке и отсыпке территории. Параллельно ведется проектирование. Планируется 01.08.2025 первичная подача ПД в экспертизу. Работы идут в графике согласно контракту</t>
  </si>
  <si>
    <t>Иной региональный проект «Реализация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(в рамках плана Реновации ЗАТО)»</t>
  </si>
  <si>
    <t>«Разработана проектная документация и построен инфекционный корпус государственного областного бюджетного учреждения здравоохранения «Центральная районная больница  ЗАТО г. Североморск», всего</t>
  </si>
  <si>
    <t xml:space="preserve">Минстрой МО, ГОКУ «УКС МО»
</t>
  </si>
  <si>
    <t xml:space="preserve">Получены положительные заключения по результатам гос.экспертиз - 2025 год, ввод объекта в эксплуатацию - 2026 год
</t>
  </si>
  <si>
    <t xml:space="preserve">349244,40
</t>
  </si>
  <si>
    <t>Мероприятие исключено согласно протоколу ГК 1пр от 07.07.25. На основании протокола ожидается заключение доп.соглашения между Минстроем МО и Минвостокразвития</t>
  </si>
  <si>
    <t>31</t>
  </si>
  <si>
    <t xml:space="preserve"> «Разработана проектная документация и построен Центр питания городской сети (электроснабжение) в ЗАТО г. Североморск» всего</t>
  </si>
  <si>
    <t xml:space="preserve">2 180 000,00
</t>
  </si>
  <si>
    <t>В настоящее время ведутся работы по подготовке проектной документации. Освоение предусмотренных средств финансирования будет осуществлено после фактического завершения работ.</t>
  </si>
  <si>
    <t>32</t>
  </si>
  <si>
    <t>«Разработана проектная документация и построен новый детский сад на 220 мест в г. Гаджиево»,  всего</t>
  </si>
  <si>
    <t xml:space="preserve">"Минстрой МО, МО городской округ ЗАТО Александровск Мурманской области, 
г. Гаджиево"
Минстрой МО, МО городской округ  ЗАТО п. Видяево Мурманской области
</t>
  </si>
  <si>
    <t xml:space="preserve">667 030,30
</t>
  </si>
  <si>
    <t>В настоящее время ведутся работы по подготовке проектной документации.</t>
  </si>
  <si>
    <t>33</t>
  </si>
  <si>
    <t>«Разработана проектная документация и построен детский сад на 250 мест», всего</t>
  </si>
  <si>
    <t xml:space="preserve">Минстрой МО, МО городской округ  ЗАТО п. Видяево Мурманской области
</t>
  </si>
  <si>
    <t>В настоящее время ведутся работы по подготовке проектной документации.
Согласно протоколу ГК 1пр от 07.07.25 средства 2025 г. перераспределены на 2026 г. На основании протокола ожидается заключение доп.соглашения между Минстроем МО и Минвостокразвития</t>
  </si>
  <si>
    <t>34</t>
  </si>
  <si>
    <t xml:space="preserve"> «Выполнены работы по проектированию, строительству и вводу в эксплуатацию объекта капитального строительства «Детский сад на 350 мест в п.г.т. Печенга», всего</t>
  </si>
  <si>
    <t xml:space="preserve">Минстрой МО, МО Печенгский муниципальный округ Мурманской области, п.г.т. Печенга
</t>
  </si>
  <si>
    <t>35</t>
  </si>
  <si>
    <t>«Разработана проектная документация и построено здание детского сада на 250 мест в п. Корзуново», всего</t>
  </si>
  <si>
    <t xml:space="preserve">Минстрой МО, МО Печенгский муниципальный округ Мурманской области, п. Корзуново
</t>
  </si>
  <si>
    <t xml:space="preserve">414 714,70
</t>
  </si>
  <si>
    <t>36</t>
  </si>
  <si>
    <t>«Разработана проектной документации и построено здание школы на 300 мест с дошкольными группами на 80 мест в с. Алакуртти», всего</t>
  </si>
  <si>
    <t xml:space="preserve">"Минстрой МО, МО Кандалакшский муниципальный район Мурманской области, 
с.п. Алакуртти"
</t>
  </si>
  <si>
    <t>37</t>
  </si>
  <si>
    <t>«Разработана проектная документация и построен детский сад на 75 мест в            н.п. Килпъявр», всего</t>
  </si>
  <si>
    <t xml:space="preserve">"Минстрой МО, МО Кольский муниципальный район Мурманской области,
н.п. Килпъявр"
"Минстрой МО, МО Кольский муниципальный район Мурманской области,
н.п. Килпъявр"
</t>
  </si>
  <si>
    <t xml:space="preserve">479 748,80
</t>
  </si>
  <si>
    <t>38</t>
  </si>
  <si>
    <t>«Разработана проектная документации и проведена реконструкции станции водоподготовки в  муниципальном округе г. Оленегорск, н.п. Высокий (Оленегорск-8)», всего</t>
  </si>
  <si>
    <t xml:space="preserve">"Минстрой МО, МО муниципальный округ 
г. Оленегорск с подведомственной территорией Мурманской области, 
н.п. Высокий (Оленегорск-8)"
</t>
  </si>
  <si>
    <t xml:space="preserve">378 849,70
</t>
  </si>
  <si>
    <t>Ввиду замены вида работ на «капитальный ремонт» изменения утверждены согласно протоколу ГК 1пр от 07.07.25. На основании протокола ожидается заключение доп.соглашения между Минстроем МО и Минвостокразвития</t>
  </si>
  <si>
    <t>Иной региональный проект «Переселение граждан из жилищного фонда, признанного аварийным до 01.01.2017 и подлежащим сносу или реконструкции»</t>
  </si>
  <si>
    <t>39</t>
  </si>
  <si>
    <t>«Построен жилой дом в г. Мурманске  по ул. Кирпичной. 1 этап»</t>
  </si>
  <si>
    <t xml:space="preserve">"Разработка ПСД
в 2023 году, строительство
в 2023 - 2025 годах"
</t>
  </si>
  <si>
    <t xml:space="preserve">МКД № 3: техническая готовность 34%. Подрядчик выполняет работы по возведению плиты перекрытия между 5 и 6 этажами в 1/2 здания, в другой части здания между 6 и 7 этажами, также осуществляется кладка газоблоков 1-3 этажи. </t>
  </si>
  <si>
    <t>40</t>
  </si>
  <si>
    <t>«Построен жилой дом в г. Мурманске по ул. Зеленой»</t>
  </si>
  <si>
    <t xml:space="preserve">"Разработка ПСД
в 2022 году, строительство
в 2023 - 2025 годах"
</t>
  </si>
  <si>
    <t>Техническая готовность – 30 %.
Подрядчик выполняет работы по возведению плиты перекрытия между 4 и 5 этажами в 1/2 здания, в другой части здания между 6 и 7 этажами, также осуществляется кладка газоблоковн 1-3 этажи.</t>
  </si>
  <si>
    <t>41</t>
  </si>
  <si>
    <t>«Построен жилой дом в г. Мурманске по ул. Полярные Зори»</t>
  </si>
  <si>
    <t xml:space="preserve">"Разработка ПСД
в 2022 году, строительство
в 2022 - 2024 годах"
</t>
  </si>
  <si>
    <t xml:space="preserve">Техническая готовность 100 %.
</t>
  </si>
  <si>
    <t>42</t>
  </si>
  <si>
    <t>Построен жилой дом в г.п. Зеленоборский Кандалакшского района Мурманской области</t>
  </si>
  <si>
    <t xml:space="preserve">Разработка ПСД
в 2021 году, строительство
в 2022 - 2025 годах </t>
  </si>
  <si>
    <t>В настоящее время строительство приостановлено. Техническая готовность 0%</t>
  </si>
  <si>
    <t>Государственная программа Мурманской области "Экономический потенциал"</t>
  </si>
  <si>
    <t>Иной региональный проект "Создание инженерной и туристской инфраструктуры в рамках реализации инвестиционного проекта "Строительство туристического кластера в городе Мурманске"</t>
  </si>
  <si>
    <t>Создание/строительство объекта туристской инфраструктуры - Акватермальный комплекс в рамках концессионного соглашения в отношении создания и эксплуатации регионального центра здоровья и отдыха "Арктический акватермальный физкультурно-оздоровительный комплекс"</t>
  </si>
  <si>
    <t>Министерство строительства Мурманской области, ООО "Городской курорт Мурманск" (концессионер)</t>
  </si>
  <si>
    <t>2023 - 2024 - заключение концессионного соглашения,
2024 - 2026 - строительство и ввод в эксплуатацию</t>
  </si>
  <si>
    <t>Заключено Концессионное соглашение и выплачен капитальный грант (в 2024 году). Ведется разработка проектной документации. Планируемый срок получения заключения госэкспертизы конец августа-начало сентября 2025 года</t>
  </si>
  <si>
    <t>-</t>
  </si>
  <si>
    <t>Региональный проект «Региональная и местная дорожная сеть»</t>
  </si>
  <si>
    <t>44</t>
  </si>
  <si>
    <t>Реконструкция автоподъезда к селу Териберка, км 10 - км 20</t>
  </si>
  <si>
    <t>Министерство транспорта и дорожного хозясйтва Мурманской области, Мурманскавтодор, ООО "Север Строй"</t>
  </si>
  <si>
    <t>2022-2025 гг</t>
  </si>
  <si>
    <t xml:space="preserve">
Технологический перерыв с 01.12.2024 по 16.05.2025 
С 17.05.2024 начаты работы по подготовке рабочего городка, площадок хранения материалов, формирование обочин. Риски отсутствуют</t>
  </si>
  <si>
    <t>Иной региональный проект «Реконструкция автомобильной дороги общего пользования регионального значения Апатиты – Кировск, км 2+688-км 14+314»</t>
  </si>
  <si>
    <t>45</t>
  </si>
  <si>
    <t>Реконструкция автомобильной дороги общего пользования регионального значения Апатиты – Кировск, км 2+688-км 14+314"</t>
  </si>
  <si>
    <t>2023-2025 гг</t>
  </si>
  <si>
    <r>
      <t xml:space="preserve">При выходе на строительно-монтажные работы подрядчиком были выявлены технические ошибки и несоответствия положений проектной документации фактической обстановке на объекте. Реализация строительно-монтажных работ по проекту «Реконструкция автомобильной дороги общего пользования регионального значения Апатиты – Кировск, км 2+688 – км 14+315» по действующей проектной документации не представляется возможным. Для проведения реконструкции необходимо повторное прохождение проектно – изыскательских работ и проверка корректности определения сметной стоимости государственной экспертизы. 
Контракт по корректировке проектной документации на реконструкцию автомобильной дороги Апатиты-Кировск, км 2+688 — км 14+314 заключен 11.03.2025. В связи с невозможностью исполнения данного контракта в срок по погодным условиям принято решение о продлении срока выполнения работ по контракту до 31.10.2025 (246-РП от 01.07.2025), дополнительное соглашение о продлении срока заключено 01.07.2025. Плановый срок получения заключения государственной экспертизы по корректировке проектной документации – 
IV квартал 2025 года. Мероприятие планируется продлить до 2028 года. Заявка на изменение параметров ИБК направлена, на рассмотрении. 
</t>
    </r>
    <r>
      <rPr>
        <sz val="8"/>
        <color theme="3"/>
        <rFont val="Times New Roman"/>
        <family val="1"/>
        <charset val="204"/>
      </rPr>
      <t xml:space="preserve">Отклонение в финансировании в паспорте ИРП связаны с учетом в бюджетной росписи переходящего остатка средств дорожного фонда за 2024 год в размере 9 835,748 тыс. руб. </t>
    </r>
  </si>
  <si>
    <t>Иной региональный проект «Строительство (реконструкция) автомобильных дорог общего пользования регионального (межмуниципального) значения»</t>
  </si>
  <si>
    <t>46</t>
  </si>
  <si>
    <t>Проектно-изыскательские и прочие работы</t>
  </si>
  <si>
    <t>Министерство транспорта и дорожного хозясйтва Мурманской области, Мурманскавтодор, ООО "ДВК-ПРОЕКТ", ООО "ИЦ "СФЕРА_ПИК"</t>
  </si>
  <si>
    <t>2023-2030</t>
  </si>
  <si>
    <r>
      <t xml:space="preserve">Заключены контракты на выполнение проектно-изыскательских работ на реконструкцию:
-  моста через пролив Экостровский  на км 13+119 автоподъезда к городу Апатиты 
- моста через ручей на км 115+325 автоподъезда к населенному пункту Слюда
Работы выполняются в графике, кассовое освоение в 4 квартале 2025 года.
Продолжаются работы по заключенным ранее контрактам: 
- автоподъезда к селу Ковда, км 5+990-км 6+490 (контракт 2017 года)
- моста через ручей Ночной на км 31+154 автоподъезда к Зареченску  (контракт 2023 года)
</t>
    </r>
    <r>
      <rPr>
        <sz val="8"/>
        <color theme="3"/>
        <rFont val="Times New Roman"/>
        <family val="1"/>
        <charset val="204"/>
      </rPr>
      <t xml:space="preserve">Отклонение в финансировании в паспорте ИРП связаны с учетом в бюджетной росписи переходящего остатка средств дорожного фонда за 2024 год в размере 12 194,8  тыс. руб. </t>
    </r>
  </si>
  <si>
    <t>За 6 месяцев 2025 года, тыс. рублей</t>
  </si>
  <si>
    <t>Государственная программа, направление (подпрограмма), объект капитального строительства</t>
  </si>
  <si>
    <t>Соисполнитель, заказчик, застройщик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</si>
</sst>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0.0%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11"/>
      <color indexed="64"/>
      <name val="Times New Roman"/>
      <family val="1"/>
      <charset val="204"/>
    </font>
    <font>
      <sz val="8"/>
      <color theme="1"/>
      <name val="Times New Roman"/>
      <family val="2"/>
      <charset val="204"/>
    </font>
    <font>
      <sz val="11"/>
      <color indexed="64"/>
      <name val="Calibri"/>
      <family val="2"/>
      <charset val="204"/>
    </font>
    <font>
      <sz val="8"/>
      <color theme="3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2" fillId="0" borderId="0"/>
    <xf numFmtId="9" fontId="9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6" fillId="5" borderId="0"/>
    <xf numFmtId="0" fontId="3" fillId="0" borderId="0"/>
    <xf numFmtId="0" fontId="23" fillId="0" borderId="0"/>
    <xf numFmtId="0" fontId="1" fillId="0" borderId="0"/>
    <xf numFmtId="0" fontId="25" fillId="0" borderId="0"/>
    <xf numFmtId="0" fontId="1" fillId="0" borderId="0"/>
  </cellStyleXfs>
  <cellXfs count="291">
    <xf numFmtId="0" fontId="0" fillId="0" borderId="0" xfId="0"/>
    <xf numFmtId="0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center" vertical="top"/>
    </xf>
    <xf numFmtId="164" fontId="0" fillId="0" borderId="0" xfId="0" applyNumberFormat="1" applyFont="1" applyFill="1" applyAlignment="1">
      <alignment horizontal="center" vertical="top"/>
    </xf>
    <xf numFmtId="165" fontId="0" fillId="0" borderId="0" xfId="0" applyNumberFormat="1" applyFont="1" applyFill="1" applyAlignment="1">
      <alignment horizontal="center" vertical="top"/>
    </xf>
    <xf numFmtId="0" fontId="0" fillId="0" borderId="0" xfId="0" applyFont="1" applyFill="1" applyAlignment="1">
      <alignment horizontal="left" vertical="top"/>
    </xf>
    <xf numFmtId="0" fontId="4" fillId="0" borderId="0" xfId="1" applyFont="1" applyAlignment="1" applyProtection="1">
      <alignment horizontal="right" vertical="center"/>
      <protection locked="0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164" fontId="7" fillId="2" borderId="1" xfId="2" applyNumberFormat="1" applyFont="1" applyFill="1" applyBorder="1" applyAlignment="1">
      <alignment horizontal="right" vertical="center" wrapText="1"/>
    </xf>
    <xf numFmtId="166" fontId="7" fillId="0" borderId="1" xfId="3" applyNumberFormat="1" applyFont="1" applyFill="1" applyBorder="1" applyAlignment="1">
      <alignment horizontal="center" vertical="center" wrapText="1"/>
    </xf>
    <xf numFmtId="164" fontId="8" fillId="2" borderId="1" xfId="2" applyNumberFormat="1" applyFont="1" applyFill="1" applyBorder="1" applyAlignment="1">
      <alignment horizontal="right" vertical="center" wrapText="1"/>
    </xf>
    <xf numFmtId="166" fontId="8" fillId="0" borderId="1" xfId="3" applyNumberFormat="1" applyFont="1" applyFill="1" applyBorder="1" applyAlignment="1">
      <alignment horizontal="center" vertical="center" wrapText="1"/>
    </xf>
    <xf numFmtId="166" fontId="7" fillId="3" borderId="1" xfId="3" applyNumberFormat="1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166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right" vertical="center" wrapText="1"/>
    </xf>
    <xf numFmtId="0" fontId="7" fillId="0" borderId="1" xfId="2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right" vertical="center" wrapText="1"/>
    </xf>
    <xf numFmtId="0" fontId="7" fillId="0" borderId="1" xfId="2" applyFont="1" applyFill="1" applyBorder="1" applyAlignment="1">
      <alignment horizontal="center" vertical="top" wrapText="1"/>
    </xf>
    <xf numFmtId="164" fontId="7" fillId="0" borderId="1" xfId="2" applyNumberFormat="1" applyFont="1" applyFill="1" applyBorder="1" applyAlignment="1">
      <alignment horizontal="right" vertical="top" wrapText="1"/>
    </xf>
    <xf numFmtId="166" fontId="7" fillId="0" borderId="1" xfId="2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1" applyFont="1" applyAlignment="1" applyProtection="1">
      <alignment horizontal="right" vertical="center"/>
      <protection locked="0"/>
    </xf>
    <xf numFmtId="0" fontId="10" fillId="0" borderId="0" xfId="0" applyFont="1" applyAlignment="1">
      <alignment vertical="center"/>
    </xf>
    <xf numFmtId="0" fontId="15" fillId="0" borderId="0" xfId="0" applyFont="1" applyAlignment="1"/>
    <xf numFmtId="0" fontId="17" fillId="5" borderId="0" xfId="5" applyFont="1" applyAlignment="1">
      <alignment horizontal="right" vertical="center"/>
    </xf>
    <xf numFmtId="0" fontId="15" fillId="0" borderId="0" xfId="0" applyFont="1"/>
    <xf numFmtId="164" fontId="19" fillId="0" borderId="1" xfId="5" applyNumberFormat="1" applyFont="1" applyFill="1" applyBorder="1" applyAlignment="1" applyProtection="1">
      <alignment horizontal="center" vertical="center" wrapText="1"/>
      <protection locked="0"/>
    </xf>
    <xf numFmtId="166" fontId="19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20" fillId="4" borderId="1" xfId="1" applyFont="1" applyFill="1" applyBorder="1" applyAlignment="1">
      <alignment horizontal="center" vertical="center" wrapText="1"/>
    </xf>
    <xf numFmtId="164" fontId="20" fillId="4" borderId="1" xfId="1" applyNumberFormat="1" applyFont="1" applyFill="1" applyBorder="1" applyAlignment="1">
      <alignment horizontal="center" vertical="center" wrapText="1"/>
    </xf>
    <xf numFmtId="166" fontId="20" fillId="4" borderId="1" xfId="3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top" wrapText="1"/>
    </xf>
    <xf numFmtId="4" fontId="21" fillId="3" borderId="1" xfId="0" applyNumberFormat="1" applyFont="1" applyFill="1" applyBorder="1" applyAlignment="1">
      <alignment horizontal="center" vertical="center" wrapText="1"/>
    </xf>
    <xf numFmtId="0" fontId="18" fillId="3" borderId="1" xfId="6" applyFont="1" applyFill="1" applyBorder="1" applyAlignment="1">
      <alignment horizontal="center" vertical="center" wrapText="1"/>
    </xf>
    <xf numFmtId="164" fontId="21" fillId="3" borderId="1" xfId="6" applyNumberFormat="1" applyFont="1" applyFill="1" applyBorder="1" applyAlignment="1">
      <alignment vertical="center" wrapText="1"/>
    </xf>
    <xf numFmtId="10" fontId="21" fillId="3" borderId="1" xfId="6" applyNumberFormat="1" applyFont="1" applyFill="1" applyBorder="1" applyAlignment="1">
      <alignment vertical="center" wrapText="1"/>
    </xf>
    <xf numFmtId="0" fontId="21" fillId="0" borderId="0" xfId="6" applyFont="1" applyFill="1" applyBorder="1" applyAlignment="1">
      <alignment vertical="center" wrapText="1"/>
    </xf>
    <xf numFmtId="0" fontId="21" fillId="3" borderId="1" xfId="6" applyFont="1" applyFill="1" applyBorder="1" applyAlignment="1">
      <alignment horizontal="center" vertical="center" wrapText="1"/>
    </xf>
    <xf numFmtId="164" fontId="18" fillId="3" borderId="1" xfId="6" applyNumberFormat="1" applyFont="1" applyFill="1" applyBorder="1" applyAlignment="1">
      <alignment vertical="center" wrapText="1"/>
    </xf>
    <xf numFmtId="166" fontId="18" fillId="3" borderId="1" xfId="6" applyNumberFormat="1" applyFont="1" applyFill="1" applyBorder="1" applyAlignment="1">
      <alignment horizontal="center" vertical="center"/>
    </xf>
    <xf numFmtId="0" fontId="21" fillId="0" borderId="0" xfId="6" applyFont="1" applyFill="1"/>
    <xf numFmtId="164" fontId="21" fillId="3" borderId="1" xfId="0" applyNumberFormat="1" applyFont="1" applyFill="1" applyBorder="1" applyAlignment="1">
      <alignment vertical="center" wrapText="1"/>
    </xf>
    <xf numFmtId="164" fontId="19" fillId="3" borderId="1" xfId="0" applyNumberFormat="1" applyFont="1" applyFill="1" applyBorder="1" applyAlignment="1">
      <alignment horizontal="right" vertical="center" wrapText="1"/>
    </xf>
    <xf numFmtId="166" fontId="21" fillId="3" borderId="1" xfId="6" applyNumberFormat="1" applyFont="1" applyFill="1" applyBorder="1" applyAlignment="1">
      <alignment horizontal="center" vertical="center"/>
    </xf>
    <xf numFmtId="164" fontId="18" fillId="3" borderId="1" xfId="0" applyNumberFormat="1" applyFont="1" applyFill="1" applyBorder="1" applyAlignment="1">
      <alignment vertical="center" wrapText="1"/>
    </xf>
    <xf numFmtId="164" fontId="19" fillId="3" borderId="1" xfId="6" applyNumberFormat="1" applyFont="1" applyFill="1" applyBorder="1" applyAlignment="1">
      <alignment vertical="center" wrapText="1"/>
    </xf>
    <xf numFmtId="4" fontId="20" fillId="4" borderId="1" xfId="1" applyNumberFormat="1" applyFont="1" applyFill="1" applyBorder="1" applyAlignment="1">
      <alignment horizontal="center" vertical="center" wrapText="1"/>
    </xf>
    <xf numFmtId="164" fontId="20" fillId="3" borderId="1" xfId="5" applyNumberFormat="1" applyFont="1" applyFill="1" applyBorder="1" applyAlignment="1" applyProtection="1">
      <alignment horizontal="center" vertical="center" wrapText="1"/>
      <protection locked="0"/>
    </xf>
    <xf numFmtId="164" fontId="18" fillId="3" borderId="1" xfId="0" applyNumberFormat="1" applyFont="1" applyFill="1" applyBorder="1" applyAlignment="1">
      <alignment horizontal="center" vertical="center" wrapText="1"/>
    </xf>
    <xf numFmtId="166" fontId="18" fillId="3" borderId="1" xfId="0" applyNumberFormat="1" applyFont="1" applyFill="1" applyBorder="1" applyAlignment="1">
      <alignment horizontal="center" vertical="center"/>
    </xf>
    <xf numFmtId="164" fontId="19" fillId="3" borderId="1" xfId="5" applyNumberFormat="1" applyFont="1" applyFill="1" applyBorder="1" applyAlignment="1" applyProtection="1">
      <alignment horizontal="center" vertical="center" wrapText="1"/>
      <protection locked="0"/>
    </xf>
    <xf numFmtId="164" fontId="21" fillId="3" borderId="1" xfId="0" applyNumberFormat="1" applyFont="1" applyFill="1" applyBorder="1" applyAlignment="1">
      <alignment horizontal="center" vertical="center" wrapText="1"/>
    </xf>
    <xf numFmtId="166" fontId="21" fillId="3" borderId="1" xfId="0" applyNumberFormat="1" applyFont="1" applyFill="1" applyBorder="1" applyAlignment="1">
      <alignment horizontal="center" vertical="center"/>
    </xf>
    <xf numFmtId="164" fontId="19" fillId="3" borderId="1" xfId="6" applyNumberFormat="1" applyFont="1" applyFill="1" applyBorder="1" applyAlignment="1">
      <alignment horizontal="center" vertical="center" wrapText="1"/>
    </xf>
    <xf numFmtId="164" fontId="19" fillId="3" borderId="1" xfId="0" applyNumberFormat="1" applyFont="1" applyFill="1" applyBorder="1" applyAlignment="1">
      <alignment vertical="center" wrapText="1"/>
    </xf>
    <xf numFmtId="0" fontId="19" fillId="3" borderId="1" xfId="0" applyFont="1" applyFill="1" applyBorder="1" applyAlignment="1">
      <alignment horizontal="center" vertical="center"/>
    </xf>
    <xf numFmtId="164" fontId="19" fillId="3" borderId="1" xfId="0" applyNumberFormat="1" applyFont="1" applyFill="1" applyBorder="1" applyAlignment="1">
      <alignment horizontal="center" wrapText="1"/>
    </xf>
    <xf numFmtId="164" fontId="21" fillId="3" borderId="1" xfId="0" applyNumberFormat="1" applyFont="1" applyFill="1" applyBorder="1" applyAlignment="1">
      <alignment horizontal="center" wrapText="1"/>
    </xf>
    <xf numFmtId="164" fontId="20" fillId="3" borderId="1" xfId="9" applyNumberFormat="1" applyFont="1" applyFill="1" applyBorder="1" applyAlignment="1" applyProtection="1">
      <alignment horizontal="center" vertical="center" wrapText="1"/>
      <protection locked="0"/>
    </xf>
    <xf numFmtId="164" fontId="19" fillId="3" borderId="1" xfId="9" applyNumberFormat="1" applyFont="1" applyFill="1" applyBorder="1" applyAlignment="1" applyProtection="1">
      <alignment horizontal="center" vertical="center" wrapText="1"/>
      <protection locked="0"/>
    </xf>
    <xf numFmtId="164" fontId="20" fillId="3" borderId="1" xfId="0" applyNumberFormat="1" applyFont="1" applyFill="1" applyBorder="1" applyAlignment="1">
      <alignment horizontal="center" vertical="center" wrapText="1"/>
    </xf>
    <xf numFmtId="164" fontId="19" fillId="3" borderId="1" xfId="0" applyNumberFormat="1" applyFont="1" applyFill="1" applyBorder="1" applyAlignment="1">
      <alignment horizontal="center" vertical="center" wrapText="1"/>
    </xf>
    <xf numFmtId="164" fontId="20" fillId="4" borderId="1" xfId="1" applyNumberFormat="1" applyFont="1" applyFill="1" applyBorder="1" applyAlignment="1">
      <alignment horizontal="center" vertical="center"/>
    </xf>
    <xf numFmtId="166" fontId="20" fillId="4" borderId="1" xfId="3" applyNumberFormat="1" applyFont="1" applyFill="1" applyBorder="1" applyAlignment="1">
      <alignment horizontal="center" vertical="center"/>
    </xf>
    <xf numFmtId="164" fontId="20" fillId="0" borderId="1" xfId="5" applyNumberFormat="1" applyFont="1" applyFill="1" applyBorder="1" applyAlignment="1" applyProtection="1">
      <alignment horizontal="center" vertical="center" wrapText="1"/>
      <protection locked="0"/>
    </xf>
    <xf numFmtId="164" fontId="18" fillId="0" borderId="1" xfId="0" applyNumberFormat="1" applyFont="1" applyFill="1" applyBorder="1" applyAlignment="1">
      <alignment horizontal="center" vertical="center" wrapText="1"/>
    </xf>
    <xf numFmtId="166" fontId="18" fillId="0" borderId="1" xfId="0" applyNumberFormat="1" applyFont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 wrapText="1"/>
    </xf>
    <xf numFmtId="166" fontId="21" fillId="0" borderId="1" xfId="0" applyNumberFormat="1" applyFont="1" applyBorder="1" applyAlignment="1">
      <alignment horizontal="center" vertical="center"/>
    </xf>
    <xf numFmtId="164" fontId="21" fillId="3" borderId="1" xfId="6" applyNumberFormat="1" applyFont="1" applyFill="1" applyBorder="1" applyAlignment="1">
      <alignment horizontal="center" vertical="center" wrapText="1"/>
    </xf>
    <xf numFmtId="164" fontId="21" fillId="0" borderId="0" xfId="6" applyNumberFormat="1" applyFont="1" applyFill="1"/>
    <xf numFmtId="0" fontId="20" fillId="0" borderId="1" xfId="1" applyFont="1" applyFill="1" applyBorder="1" applyAlignment="1">
      <alignment horizontal="center" vertical="center" wrapText="1"/>
    </xf>
    <xf numFmtId="164" fontId="20" fillId="0" borderId="1" xfId="1" applyNumberFormat="1" applyFont="1" applyFill="1" applyBorder="1" applyAlignment="1">
      <alignment horizontal="center" vertical="center" wrapText="1"/>
    </xf>
    <xf numFmtId="166" fontId="20" fillId="0" borderId="1" xfId="3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/>
    </xf>
    <xf numFmtId="0" fontId="7" fillId="0" borderId="4" xfId="2" applyFont="1" applyFill="1" applyBorder="1" applyAlignment="1">
      <alignment vertical="top" wrapText="1"/>
    </xf>
    <xf numFmtId="0" fontId="7" fillId="0" borderId="5" xfId="2" applyFont="1" applyFill="1" applyBorder="1" applyAlignment="1">
      <alignment vertical="top" wrapText="1"/>
    </xf>
    <xf numFmtId="0" fontId="7" fillId="0" borderId="6" xfId="2" applyFont="1" applyFill="1" applyBorder="1" applyAlignment="1">
      <alignment vertical="top" wrapText="1"/>
    </xf>
    <xf numFmtId="0" fontId="8" fillId="0" borderId="1" xfId="2" applyFont="1" applyFill="1" applyBorder="1" applyAlignment="1">
      <alignment vertical="top" wrapText="1"/>
    </xf>
    <xf numFmtId="0" fontId="8" fillId="0" borderId="4" xfId="2" applyFont="1" applyFill="1" applyBorder="1" applyAlignment="1">
      <alignment horizontal="center" vertical="top" wrapText="1"/>
    </xf>
    <xf numFmtId="0" fontId="8" fillId="0" borderId="5" xfId="2" applyFont="1" applyFill="1" applyBorder="1" applyAlignment="1">
      <alignment horizontal="center" vertical="top" wrapText="1"/>
    </xf>
    <xf numFmtId="0" fontId="8" fillId="0" borderId="6" xfId="2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1" xfId="2" applyNumberFormat="1" applyFont="1" applyFill="1" applyBorder="1" applyAlignment="1">
      <alignment horizontal="center" vertical="top" wrapText="1"/>
    </xf>
    <xf numFmtId="0" fontId="7" fillId="0" borderId="1" xfId="2" applyFont="1" applyFill="1" applyBorder="1" applyAlignment="1">
      <alignment vertical="top" wrapText="1"/>
    </xf>
    <xf numFmtId="0" fontId="7" fillId="0" borderId="1" xfId="2" applyFont="1" applyFill="1" applyBorder="1" applyAlignment="1">
      <alignment horizontal="left" vertical="top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vertical="center" wrapText="1"/>
    </xf>
    <xf numFmtId="0" fontId="7" fillId="0" borderId="5" xfId="2" applyFont="1" applyFill="1" applyBorder="1" applyAlignment="1">
      <alignment vertical="center" wrapText="1"/>
    </xf>
    <xf numFmtId="0" fontId="7" fillId="0" borderId="6" xfId="2" applyFont="1" applyFill="1" applyBorder="1" applyAlignment="1">
      <alignment vertical="center" wrapText="1"/>
    </xf>
    <xf numFmtId="0" fontId="7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4" fontId="19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20" fillId="0" borderId="7" xfId="1" applyFont="1" applyFill="1" applyBorder="1" applyAlignment="1">
      <alignment horizontal="left" vertical="center" wrapText="1"/>
    </xf>
    <xf numFmtId="0" fontId="20" fillId="0" borderId="14" xfId="1" applyFont="1" applyFill="1" applyBorder="1" applyAlignment="1">
      <alignment horizontal="left" vertical="center" wrapText="1"/>
    </xf>
    <xf numFmtId="0" fontId="20" fillId="0" borderId="10" xfId="1" applyFont="1" applyFill="1" applyBorder="1" applyAlignment="1">
      <alignment horizontal="left" vertical="center" wrapText="1"/>
    </xf>
    <xf numFmtId="0" fontId="20" fillId="0" borderId="8" xfId="1" applyFont="1" applyFill="1" applyBorder="1" applyAlignment="1">
      <alignment horizontal="left" vertical="center" wrapText="1"/>
    </xf>
    <xf numFmtId="0" fontId="20" fillId="0" borderId="0" xfId="1" applyFont="1" applyFill="1" applyBorder="1" applyAlignment="1">
      <alignment horizontal="left" vertical="center" wrapText="1"/>
    </xf>
    <xf numFmtId="0" fontId="20" fillId="0" borderId="11" xfId="1" applyFont="1" applyFill="1" applyBorder="1" applyAlignment="1">
      <alignment horizontal="left" vertical="center" wrapText="1"/>
    </xf>
    <xf numFmtId="0" fontId="20" fillId="0" borderId="9" xfId="1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horizontal="left" vertical="center" wrapText="1"/>
    </xf>
    <xf numFmtId="0" fontId="20" fillId="0" borderId="12" xfId="1" applyFont="1" applyFill="1" applyBorder="1" applyAlignment="1">
      <alignment horizontal="left" vertical="center" wrapText="1"/>
    </xf>
    <xf numFmtId="1" fontId="20" fillId="0" borderId="1" xfId="3" applyNumberFormat="1" applyFont="1" applyFill="1" applyBorder="1" applyAlignment="1">
      <alignment horizontal="center" vertical="center" wrapText="1"/>
    </xf>
    <xf numFmtId="164" fontId="20" fillId="0" borderId="1" xfId="1" applyNumberFormat="1" applyFont="1" applyFill="1" applyBorder="1" applyAlignment="1">
      <alignment horizontal="left" vertical="center" wrapText="1"/>
    </xf>
    <xf numFmtId="0" fontId="20" fillId="0" borderId="1" xfId="1" applyFont="1" applyFill="1" applyBorder="1" applyAlignment="1">
      <alignment horizontal="left" vertical="center" wrapText="1"/>
    </xf>
    <xf numFmtId="0" fontId="20" fillId="4" borderId="7" xfId="1" applyFont="1" applyFill="1" applyBorder="1" applyAlignment="1">
      <alignment horizontal="left" vertical="center" wrapText="1"/>
    </xf>
    <xf numFmtId="0" fontId="20" fillId="4" borderId="14" xfId="1" applyFont="1" applyFill="1" applyBorder="1" applyAlignment="1">
      <alignment horizontal="left" vertical="center" wrapText="1"/>
    </xf>
    <xf numFmtId="0" fontId="20" fillId="4" borderId="10" xfId="1" applyFont="1" applyFill="1" applyBorder="1" applyAlignment="1">
      <alignment horizontal="left" vertical="center" wrapText="1"/>
    </xf>
    <xf numFmtId="0" fontId="20" fillId="4" borderId="8" xfId="1" applyFont="1" applyFill="1" applyBorder="1" applyAlignment="1">
      <alignment horizontal="left" vertical="center" wrapText="1"/>
    </xf>
    <xf numFmtId="0" fontId="20" fillId="4" borderId="0" xfId="1" applyFont="1" applyFill="1" applyBorder="1" applyAlignment="1">
      <alignment horizontal="left" vertical="center" wrapText="1"/>
    </xf>
    <xf numFmtId="0" fontId="20" fillId="4" borderId="11" xfId="1" applyFont="1" applyFill="1" applyBorder="1" applyAlignment="1">
      <alignment horizontal="left" vertical="center" wrapText="1"/>
    </xf>
    <xf numFmtId="0" fontId="20" fillId="4" borderId="9" xfId="1" applyFont="1" applyFill="1" applyBorder="1" applyAlignment="1">
      <alignment horizontal="left" vertical="center" wrapText="1"/>
    </xf>
    <xf numFmtId="0" fontId="20" fillId="4" borderId="13" xfId="1" applyFont="1" applyFill="1" applyBorder="1" applyAlignment="1">
      <alignment horizontal="left" vertical="center" wrapText="1"/>
    </xf>
    <xf numFmtId="0" fontId="20" fillId="4" borderId="12" xfId="1" applyFont="1" applyFill="1" applyBorder="1" applyAlignment="1">
      <alignment horizontal="left" vertical="center" wrapText="1"/>
    </xf>
    <xf numFmtId="9" fontId="20" fillId="4" borderId="4" xfId="3" applyFont="1" applyFill="1" applyBorder="1" applyAlignment="1">
      <alignment horizontal="center" vertical="center" wrapText="1"/>
    </xf>
    <xf numFmtId="9" fontId="20" fillId="4" borderId="5" xfId="3" applyFont="1" applyFill="1" applyBorder="1" applyAlignment="1">
      <alignment horizontal="center" vertical="center" wrapText="1"/>
    </xf>
    <xf numFmtId="9" fontId="20" fillId="4" borderId="6" xfId="3" applyFont="1" applyFill="1" applyBorder="1" applyAlignment="1">
      <alignment horizontal="center" vertical="center" wrapText="1"/>
    </xf>
    <xf numFmtId="164" fontId="20" fillId="4" borderId="4" xfId="1" applyNumberFormat="1" applyFont="1" applyFill="1" applyBorder="1" applyAlignment="1">
      <alignment horizontal="center" vertical="center" wrapText="1"/>
    </xf>
    <xf numFmtId="164" fontId="20" fillId="4" borderId="5" xfId="1" applyNumberFormat="1" applyFont="1" applyFill="1" applyBorder="1" applyAlignment="1">
      <alignment horizontal="center" vertical="center" wrapText="1"/>
    </xf>
    <xf numFmtId="164" fontId="20" fillId="4" borderId="6" xfId="1" applyNumberFormat="1" applyFont="1" applyFill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0" fontId="19" fillId="5" borderId="1" xfId="5" applyFont="1" applyBorder="1" applyAlignment="1">
      <alignment horizontal="center" vertical="center" wrapText="1"/>
    </xf>
    <xf numFmtId="0" fontId="19" fillId="0" borderId="1" xfId="5" applyFont="1" applyFill="1" applyBorder="1" applyAlignment="1">
      <alignment horizontal="center" vertical="center" wrapText="1"/>
    </xf>
    <xf numFmtId="164" fontId="19" fillId="0" borderId="1" xfId="5" applyNumberFormat="1" applyFont="1" applyFill="1" applyBorder="1" applyAlignment="1" applyProtection="1">
      <alignment horizontal="center" vertical="center" wrapText="1"/>
      <protection locked="0"/>
    </xf>
    <xf numFmtId="9" fontId="19" fillId="0" borderId="1" xfId="3" applyFont="1" applyFill="1" applyBorder="1" applyAlignment="1" applyProtection="1">
      <alignment horizontal="center" vertical="center" wrapText="1"/>
      <protection locked="0"/>
    </xf>
    <xf numFmtId="0" fontId="19" fillId="6" borderId="1" xfId="1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21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vertical="top" wrapText="1"/>
    </xf>
    <xf numFmtId="0" fontId="21" fillId="3" borderId="1" xfId="0" applyFont="1" applyFill="1" applyBorder="1" applyAlignment="1">
      <alignment vertical="center" wrapText="1"/>
    </xf>
    <xf numFmtId="4" fontId="21" fillId="3" borderId="1" xfId="0" applyNumberFormat="1" applyFont="1" applyFill="1" applyBorder="1" applyAlignment="1">
      <alignment horizontal="center" vertical="center" wrapText="1"/>
    </xf>
    <xf numFmtId="10" fontId="21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2" fillId="4" borderId="14" xfId="0" applyFont="1" applyFill="1" applyBorder="1" applyAlignment="1">
      <alignment horizontal="left" vertical="center" wrapText="1"/>
    </xf>
    <xf numFmtId="0" fontId="22" fillId="4" borderId="10" xfId="0" applyFont="1" applyFill="1" applyBorder="1" applyAlignment="1">
      <alignment horizontal="left" vertical="center" wrapText="1"/>
    </xf>
    <xf numFmtId="0" fontId="22" fillId="4" borderId="8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11" xfId="0" applyFont="1" applyFill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center" vertical="center" wrapText="1"/>
    </xf>
    <xf numFmtId="0" fontId="20" fillId="4" borderId="4" xfId="1" applyFont="1" applyFill="1" applyBorder="1" applyAlignment="1">
      <alignment horizontal="left" vertical="center" wrapText="1"/>
    </xf>
    <xf numFmtId="0" fontId="20" fillId="4" borderId="5" xfId="1" applyFont="1" applyFill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21" fillId="3" borderId="1" xfId="0" applyFont="1" applyFill="1" applyBorder="1" applyAlignment="1">
      <alignment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 wrapText="1"/>
    </xf>
    <xf numFmtId="0" fontId="21" fillId="3" borderId="4" xfId="6" applyFont="1" applyFill="1" applyBorder="1" applyAlignment="1">
      <alignment horizontal="left" vertical="center" wrapText="1"/>
    </xf>
    <xf numFmtId="0" fontId="21" fillId="3" borderId="5" xfId="6" applyFont="1" applyFill="1" applyBorder="1" applyAlignment="1">
      <alignment horizontal="left" vertical="center" wrapText="1"/>
    </xf>
    <xf numFmtId="0" fontId="21" fillId="3" borderId="6" xfId="6" applyFont="1" applyFill="1" applyBorder="1" applyAlignment="1">
      <alignment horizontal="left" vertical="center" wrapText="1"/>
    </xf>
    <xf numFmtId="0" fontId="21" fillId="3" borderId="4" xfId="6" applyFont="1" applyFill="1" applyBorder="1" applyAlignment="1">
      <alignment horizontal="center" vertical="center" wrapText="1"/>
    </xf>
    <xf numFmtId="0" fontId="21" fillId="3" borderId="5" xfId="6" applyFont="1" applyFill="1" applyBorder="1" applyAlignment="1">
      <alignment horizontal="center" vertical="center" wrapText="1"/>
    </xf>
    <xf numFmtId="0" fontId="21" fillId="3" borderId="6" xfId="6" applyFont="1" applyFill="1" applyBorder="1" applyAlignment="1">
      <alignment horizontal="center" vertical="center" wrapText="1"/>
    </xf>
    <xf numFmtId="2" fontId="21" fillId="3" borderId="4" xfId="7" applyNumberFormat="1" applyFont="1" applyFill="1" applyBorder="1" applyAlignment="1">
      <alignment horizontal="left" vertical="center" wrapText="1"/>
    </xf>
    <xf numFmtId="2" fontId="21" fillId="3" borderId="5" xfId="7" applyNumberFormat="1" applyFont="1" applyFill="1" applyBorder="1" applyAlignment="1">
      <alignment horizontal="left" vertical="center" wrapText="1"/>
    </xf>
    <xf numFmtId="2" fontId="21" fillId="3" borderId="4" xfId="7" applyNumberFormat="1" applyFont="1" applyFill="1" applyBorder="1" applyAlignment="1">
      <alignment horizontal="center" vertical="center" wrapText="1"/>
    </xf>
    <xf numFmtId="2" fontId="21" fillId="3" borderId="5" xfId="7" applyNumberFormat="1" applyFont="1" applyFill="1" applyBorder="1" applyAlignment="1">
      <alignment horizontal="center" vertical="center" wrapText="1"/>
    </xf>
    <xf numFmtId="4" fontId="21" fillId="3" borderId="4" xfId="7" applyNumberFormat="1" applyFont="1" applyFill="1" applyBorder="1" applyAlignment="1">
      <alignment horizontal="center" vertical="center" wrapText="1"/>
    </xf>
    <xf numFmtId="4" fontId="21" fillId="3" borderId="5" xfId="7" applyNumberFormat="1" applyFont="1" applyFill="1" applyBorder="1" applyAlignment="1">
      <alignment horizontal="center" vertical="center" wrapText="1"/>
    </xf>
    <xf numFmtId="10" fontId="21" fillId="3" borderId="4" xfId="6" applyNumberFormat="1" applyFont="1" applyFill="1" applyBorder="1" applyAlignment="1">
      <alignment horizontal="center" vertical="center" wrapText="1"/>
    </xf>
    <xf numFmtId="10" fontId="21" fillId="3" borderId="5" xfId="6" applyNumberFormat="1" applyFont="1" applyFill="1" applyBorder="1" applyAlignment="1">
      <alignment horizontal="center" vertical="center" wrapText="1"/>
    </xf>
    <xf numFmtId="10" fontId="21" fillId="3" borderId="6" xfId="6" applyNumberFormat="1" applyFont="1" applyFill="1" applyBorder="1" applyAlignment="1">
      <alignment horizontal="center" vertical="center" wrapText="1"/>
    </xf>
    <xf numFmtId="2" fontId="21" fillId="3" borderId="4" xfId="7" quotePrefix="1" applyNumberFormat="1" applyFont="1" applyFill="1" applyBorder="1" applyAlignment="1">
      <alignment horizontal="left" vertical="center" wrapText="1"/>
    </xf>
    <xf numFmtId="2" fontId="21" fillId="3" borderId="4" xfId="7" quotePrefix="1" applyNumberFormat="1" applyFont="1" applyFill="1" applyBorder="1" applyAlignment="1">
      <alignment horizontal="left" vertical="top" wrapText="1"/>
    </xf>
    <xf numFmtId="2" fontId="21" fillId="3" borderId="5" xfId="7" applyNumberFormat="1" applyFont="1" applyFill="1" applyBorder="1" applyAlignment="1">
      <alignment horizontal="left" vertical="top" wrapText="1"/>
    </xf>
    <xf numFmtId="0" fontId="21" fillId="3" borderId="4" xfId="7" applyFont="1" applyFill="1" applyBorder="1" applyAlignment="1">
      <alignment horizontal="center" vertical="center"/>
    </xf>
    <xf numFmtId="0" fontId="21" fillId="3" borderId="5" xfId="7" applyFont="1" applyFill="1" applyBorder="1" applyAlignment="1">
      <alignment horizontal="center" vertical="center"/>
    </xf>
    <xf numFmtId="166" fontId="21" fillId="3" borderId="15" xfId="6" applyNumberFormat="1" applyFont="1" applyFill="1" applyBorder="1" applyAlignment="1">
      <alignment horizontal="center" vertical="center"/>
    </xf>
    <xf numFmtId="0" fontId="21" fillId="3" borderId="15" xfId="6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vertical="center" wrapText="1"/>
    </xf>
    <xf numFmtId="0" fontId="19" fillId="3" borderId="5" xfId="0" applyFont="1" applyFill="1" applyBorder="1" applyAlignment="1">
      <alignment vertical="center" wrapText="1"/>
    </xf>
    <xf numFmtId="0" fontId="19" fillId="3" borderId="6" xfId="0" applyFont="1" applyFill="1" applyBorder="1" applyAlignment="1">
      <alignment vertical="center" wrapText="1"/>
    </xf>
    <xf numFmtId="2" fontId="21" fillId="3" borderId="4" xfId="7" applyNumberFormat="1" applyFont="1" applyFill="1" applyBorder="1" applyAlignment="1">
      <alignment horizontal="left" vertical="top" wrapText="1"/>
    </xf>
    <xf numFmtId="0" fontId="19" fillId="3" borderId="1" xfId="6" applyFont="1" applyFill="1" applyBorder="1" applyAlignment="1">
      <alignment vertical="top" wrapText="1"/>
    </xf>
    <xf numFmtId="0" fontId="20" fillId="4" borderId="1" xfId="1" applyFont="1" applyFill="1" applyBorder="1" applyAlignment="1">
      <alignment horizontal="left" vertical="center" wrapText="1"/>
    </xf>
    <xf numFmtId="0" fontId="15" fillId="4" borderId="1" xfId="0" applyFont="1" applyFill="1" applyBorder="1" applyAlignment="1">
      <alignment horizontal="left" vertical="center" wrapText="1"/>
    </xf>
    <xf numFmtId="9" fontId="20" fillId="4" borderId="1" xfId="3" applyFont="1" applyFill="1" applyBorder="1" applyAlignment="1">
      <alignment horizontal="center" vertical="center" wrapText="1"/>
    </xf>
    <xf numFmtId="164" fontId="20" fillId="4" borderId="1" xfId="1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top" wrapText="1"/>
    </xf>
    <xf numFmtId="0" fontId="21" fillId="3" borderId="1" xfId="0" applyFont="1" applyFill="1" applyBorder="1" applyAlignment="1">
      <alignment horizontal="center" vertical="center"/>
    </xf>
    <xf numFmtId="0" fontId="21" fillId="3" borderId="5" xfId="0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horizontal="center" vertical="center"/>
    </xf>
    <xf numFmtId="164" fontId="21" fillId="3" borderId="4" xfId="0" applyNumberFormat="1" applyFont="1" applyFill="1" applyBorder="1" applyAlignment="1">
      <alignment horizontal="center" vertical="center" wrapText="1"/>
    </xf>
    <xf numFmtId="164" fontId="21" fillId="3" borderId="5" xfId="0" applyNumberFormat="1" applyFont="1" applyFill="1" applyBorder="1" applyAlignment="1">
      <alignment horizontal="center" vertical="center"/>
    </xf>
    <xf numFmtId="164" fontId="21" fillId="3" borderId="6" xfId="0" applyNumberFormat="1" applyFont="1" applyFill="1" applyBorder="1" applyAlignment="1">
      <alignment horizontal="center" vertical="center"/>
    </xf>
    <xf numFmtId="2" fontId="21" fillId="3" borderId="6" xfId="7" applyNumberFormat="1" applyFont="1" applyFill="1" applyBorder="1" applyAlignment="1">
      <alignment horizontal="left" vertical="top" wrapText="1"/>
    </xf>
    <xf numFmtId="2" fontId="21" fillId="3" borderId="6" xfId="7" applyNumberFormat="1" applyFont="1" applyFill="1" applyBorder="1" applyAlignment="1">
      <alignment horizontal="center" vertical="center" wrapText="1"/>
    </xf>
    <xf numFmtId="4" fontId="21" fillId="3" borderId="6" xfId="7" applyNumberFormat="1" applyFont="1" applyFill="1" applyBorder="1" applyAlignment="1">
      <alignment horizontal="center" vertical="center" wrapText="1"/>
    </xf>
    <xf numFmtId="166" fontId="21" fillId="3" borderId="4" xfId="0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left" vertical="center" wrapText="1"/>
    </xf>
    <xf numFmtId="0" fontId="19" fillId="3" borderId="5" xfId="0" applyFont="1" applyFill="1" applyBorder="1" applyAlignment="1">
      <alignment horizontal="left" vertical="center" wrapText="1"/>
    </xf>
    <xf numFmtId="0" fontId="19" fillId="3" borderId="6" xfId="0" applyFont="1" applyFill="1" applyBorder="1" applyAlignment="1">
      <alignment horizontal="left" vertical="center" wrapText="1"/>
    </xf>
    <xf numFmtId="0" fontId="21" fillId="3" borderId="4" xfId="0" applyFont="1" applyFill="1" applyBorder="1" applyAlignment="1">
      <alignment horizontal="left" vertical="top" wrapText="1"/>
    </xf>
    <xf numFmtId="0" fontId="21" fillId="3" borderId="5" xfId="0" applyFont="1" applyFill="1" applyBorder="1" applyAlignment="1">
      <alignment horizontal="left" vertical="top" wrapText="1"/>
    </xf>
    <xf numFmtId="0" fontId="21" fillId="3" borderId="6" xfId="0" applyFont="1" applyFill="1" applyBorder="1" applyAlignment="1">
      <alignment horizontal="left" vertical="top" wrapText="1"/>
    </xf>
    <xf numFmtId="164" fontId="21" fillId="3" borderId="4" xfId="0" applyNumberFormat="1" applyFont="1" applyFill="1" applyBorder="1" applyAlignment="1">
      <alignment horizontal="center" vertical="center"/>
    </xf>
    <xf numFmtId="0" fontId="21" fillId="3" borderId="4" xfId="0" applyFont="1" applyFill="1" applyBorder="1" applyAlignment="1">
      <alignment horizontal="left" vertical="center" wrapText="1"/>
    </xf>
    <xf numFmtId="0" fontId="21" fillId="3" borderId="5" xfId="0" applyFont="1" applyFill="1" applyBorder="1" applyAlignment="1">
      <alignment horizontal="left" vertical="center" wrapText="1"/>
    </xf>
    <xf numFmtId="0" fontId="21" fillId="3" borderId="6" xfId="0" applyFont="1" applyFill="1" applyBorder="1" applyAlignment="1">
      <alignment horizontal="left" vertical="center" wrapText="1"/>
    </xf>
    <xf numFmtId="164" fontId="21" fillId="3" borderId="4" xfId="6" applyNumberFormat="1" applyFont="1" applyFill="1" applyBorder="1" applyAlignment="1">
      <alignment horizontal="center" vertical="center" wrapText="1"/>
    </xf>
    <xf numFmtId="164" fontId="21" fillId="3" borderId="5" xfId="6" applyNumberFormat="1" applyFont="1" applyFill="1" applyBorder="1" applyAlignment="1">
      <alignment horizontal="center" vertical="center" wrapText="1"/>
    </xf>
    <xf numFmtId="164" fontId="21" fillId="3" borderId="6" xfId="6" applyNumberFormat="1" applyFont="1" applyFill="1" applyBorder="1" applyAlignment="1">
      <alignment horizontal="center" vertical="center" wrapText="1"/>
    </xf>
    <xf numFmtId="0" fontId="21" fillId="3" borderId="1" xfId="6" applyFont="1" applyFill="1" applyBorder="1" applyAlignment="1">
      <alignment horizontal="center" vertical="center" wrapText="1"/>
    </xf>
    <xf numFmtId="0" fontId="21" fillId="3" borderId="1" xfId="6" applyFont="1" applyFill="1" applyBorder="1" applyAlignment="1">
      <alignment horizontal="left" vertical="top" wrapText="1"/>
    </xf>
    <xf numFmtId="0" fontId="21" fillId="3" borderId="1" xfId="6" applyFont="1" applyFill="1" applyBorder="1" applyAlignment="1">
      <alignment vertical="center" wrapText="1"/>
    </xf>
    <xf numFmtId="0" fontId="21" fillId="3" borderId="4" xfId="6" applyFont="1" applyFill="1" applyBorder="1" applyAlignment="1">
      <alignment vertical="center" wrapText="1"/>
    </xf>
    <xf numFmtId="0" fontId="21" fillId="3" borderId="5" xfId="6" applyFont="1" applyFill="1" applyBorder="1" applyAlignment="1">
      <alignment vertical="center" wrapText="1"/>
    </xf>
    <xf numFmtId="0" fontId="21" fillId="3" borderId="6" xfId="6" applyFont="1" applyFill="1" applyBorder="1" applyAlignment="1">
      <alignment vertical="center" wrapText="1"/>
    </xf>
    <xf numFmtId="164" fontId="21" fillId="3" borderId="1" xfId="6" applyNumberFormat="1" applyFont="1" applyFill="1" applyBorder="1" applyAlignment="1">
      <alignment horizontal="center" vertical="center" wrapText="1"/>
    </xf>
    <xf numFmtId="0" fontId="20" fillId="4" borderId="1" xfId="1" applyFont="1" applyFill="1" applyBorder="1" applyAlignment="1">
      <alignment horizontal="center" vertical="center" wrapText="1"/>
    </xf>
    <xf numFmtId="0" fontId="19" fillId="7" borderId="1" xfId="1" applyFont="1" applyFill="1" applyBorder="1" applyAlignment="1">
      <alignment horizontal="left" vertical="center" wrapText="1"/>
    </xf>
    <xf numFmtId="0" fontId="21" fillId="3" borderId="1" xfId="6" applyFont="1" applyFill="1" applyBorder="1" applyAlignment="1">
      <alignment vertical="top" wrapText="1"/>
    </xf>
    <xf numFmtId="0" fontId="19" fillId="3" borderId="4" xfId="6" applyFont="1" applyFill="1" applyBorder="1" applyAlignment="1">
      <alignment horizontal="left" vertical="center" wrapText="1"/>
    </xf>
    <xf numFmtId="0" fontId="19" fillId="3" borderId="5" xfId="6" applyFont="1" applyFill="1" applyBorder="1" applyAlignment="1">
      <alignment horizontal="left" vertical="center" wrapText="1"/>
    </xf>
    <xf numFmtId="0" fontId="19" fillId="3" borderId="6" xfId="6" applyFont="1" applyFill="1" applyBorder="1" applyAlignment="1">
      <alignment horizontal="left" vertical="center" wrapText="1"/>
    </xf>
    <xf numFmtId="166" fontId="21" fillId="3" borderId="1" xfId="6" applyNumberFormat="1" applyFont="1" applyFill="1" applyBorder="1" applyAlignment="1">
      <alignment horizontal="center" vertical="center"/>
    </xf>
    <xf numFmtId="0" fontId="21" fillId="3" borderId="1" xfId="6" applyFont="1" applyFill="1" applyBorder="1" applyAlignment="1">
      <alignment horizontal="center" vertical="center"/>
    </xf>
    <xf numFmtId="0" fontId="19" fillId="3" borderId="1" xfId="6" applyFont="1" applyFill="1" applyBorder="1" applyAlignment="1">
      <alignment horizontal="left" vertical="top" wrapText="1"/>
    </xf>
    <xf numFmtId="0" fontId="19" fillId="3" borderId="1" xfId="8" applyFont="1" applyFill="1" applyBorder="1" applyAlignment="1">
      <alignment horizontal="left" vertical="top" wrapText="1"/>
    </xf>
    <xf numFmtId="49" fontId="24" fillId="3" borderId="1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left" vertical="top" wrapText="1"/>
    </xf>
    <xf numFmtId="0" fontId="19" fillId="3" borderId="5" xfId="0" applyFont="1" applyFill="1" applyBorder="1" applyAlignment="1">
      <alignment horizontal="left" vertical="top" wrapText="1"/>
    </xf>
    <xf numFmtId="0" fontId="19" fillId="3" borderId="1" xfId="0" applyFont="1" applyFill="1" applyBorder="1" applyAlignment="1">
      <alignment horizontal="left" vertical="top" wrapText="1"/>
    </xf>
    <xf numFmtId="166" fontId="21" fillId="3" borderId="1" xfId="0" applyNumberFormat="1" applyFont="1" applyFill="1" applyBorder="1" applyAlignment="1">
      <alignment horizontal="center" vertical="top"/>
    </xf>
    <xf numFmtId="0" fontId="21" fillId="3" borderId="1" xfId="0" applyFont="1" applyFill="1" applyBorder="1" applyAlignment="1">
      <alignment horizontal="center" vertical="top"/>
    </xf>
    <xf numFmtId="0" fontId="19" fillId="6" borderId="2" xfId="1" applyFont="1" applyFill="1" applyBorder="1" applyAlignment="1">
      <alignment horizontal="left" vertical="center" wrapText="1" readingOrder="1"/>
    </xf>
    <xf numFmtId="0" fontId="19" fillId="6" borderId="3" xfId="1" applyFont="1" applyFill="1" applyBorder="1" applyAlignment="1">
      <alignment horizontal="left" vertical="center" wrapText="1" readingOrder="1"/>
    </xf>
    <xf numFmtId="0" fontId="19" fillId="6" borderId="15" xfId="1" applyFont="1" applyFill="1" applyBorder="1" applyAlignment="1">
      <alignment horizontal="left" vertical="center" wrapText="1" readingOrder="1"/>
    </xf>
    <xf numFmtId="0" fontId="19" fillId="6" borderId="1" xfId="1" applyFont="1" applyFill="1" applyBorder="1" applyAlignment="1">
      <alignment horizontal="left" vertical="center" wrapText="1"/>
    </xf>
    <xf numFmtId="49" fontId="21" fillId="3" borderId="4" xfId="0" applyNumberFormat="1" applyFont="1" applyFill="1" applyBorder="1" applyAlignment="1">
      <alignment horizontal="center" vertical="top" wrapText="1"/>
    </xf>
    <xf numFmtId="49" fontId="21" fillId="3" borderId="5" xfId="0" applyNumberFormat="1" applyFont="1" applyFill="1" applyBorder="1" applyAlignment="1">
      <alignment horizontal="center" vertical="top" wrapText="1"/>
    </xf>
    <xf numFmtId="49" fontId="21" fillId="3" borderId="6" xfId="0" applyNumberFormat="1" applyFont="1" applyFill="1" applyBorder="1" applyAlignment="1">
      <alignment horizontal="center" vertical="top" wrapText="1"/>
    </xf>
    <xf numFmtId="0" fontId="19" fillId="3" borderId="1" xfId="10" applyFont="1" applyFill="1" applyBorder="1" applyAlignment="1">
      <alignment horizontal="left" vertical="top" wrapText="1"/>
    </xf>
    <xf numFmtId="164" fontId="21" fillId="3" borderId="1" xfId="0" applyNumberFormat="1" applyFont="1" applyFill="1" applyBorder="1" applyAlignment="1">
      <alignment horizontal="center" vertical="top"/>
    </xf>
    <xf numFmtId="4" fontId="19" fillId="3" borderId="1" xfId="0" applyNumberFormat="1" applyFont="1" applyFill="1" applyBorder="1" applyAlignment="1">
      <alignment horizontal="left" vertical="top" wrapText="1"/>
    </xf>
    <xf numFmtId="49" fontId="21" fillId="3" borderId="1" xfId="0" applyNumberFormat="1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horizontal="center" vertical="center" wrapText="1"/>
    </xf>
    <xf numFmtId="10" fontId="21" fillId="3" borderId="1" xfId="0" applyNumberFormat="1" applyFont="1" applyFill="1" applyBorder="1" applyAlignment="1">
      <alignment horizontal="center" vertical="top"/>
    </xf>
    <xf numFmtId="0" fontId="19" fillId="6" borderId="2" xfId="1" applyFont="1" applyFill="1" applyBorder="1" applyAlignment="1">
      <alignment horizontal="left" vertical="center" wrapText="1"/>
    </xf>
    <xf numFmtId="0" fontId="19" fillId="6" borderId="3" xfId="1" applyFont="1" applyFill="1" applyBorder="1" applyAlignment="1">
      <alignment horizontal="left" vertical="center" wrapText="1"/>
    </xf>
    <xf numFmtId="0" fontId="19" fillId="6" borderId="15" xfId="1" applyFont="1" applyFill="1" applyBorder="1" applyAlignment="1">
      <alignment horizontal="left" vertical="center" wrapText="1"/>
    </xf>
    <xf numFmtId="166" fontId="21" fillId="3" borderId="4" xfId="0" applyNumberFormat="1" applyFont="1" applyFill="1" applyBorder="1" applyAlignment="1">
      <alignment horizontal="center" vertical="top"/>
    </xf>
    <xf numFmtId="166" fontId="21" fillId="3" borderId="5" xfId="0" applyNumberFormat="1" applyFont="1" applyFill="1" applyBorder="1" applyAlignment="1">
      <alignment horizontal="center" vertical="top"/>
    </xf>
    <xf numFmtId="166" fontId="21" fillId="3" borderId="6" xfId="0" applyNumberFormat="1" applyFont="1" applyFill="1" applyBorder="1" applyAlignment="1">
      <alignment horizontal="center" vertical="top"/>
    </xf>
    <xf numFmtId="0" fontId="19" fillId="3" borderId="1" xfId="0" applyFont="1" applyFill="1" applyBorder="1" applyAlignment="1">
      <alignment vertical="top" wrapText="1"/>
    </xf>
    <xf numFmtId="9" fontId="19" fillId="4" borderId="1" xfId="3" applyFont="1" applyFill="1" applyBorder="1" applyAlignment="1">
      <alignment horizontal="center" vertical="center"/>
    </xf>
    <xf numFmtId="0" fontId="19" fillId="4" borderId="1" xfId="1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top" wrapText="1"/>
    </xf>
    <xf numFmtId="0" fontId="21" fillId="0" borderId="5" xfId="0" applyFont="1" applyFill="1" applyBorder="1" applyAlignment="1">
      <alignment horizontal="center" vertical="top" wrapText="1"/>
    </xf>
    <xf numFmtId="0" fontId="21" fillId="0" borderId="6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top"/>
    </xf>
    <xf numFmtId="0" fontId="21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/>
    </xf>
    <xf numFmtId="0" fontId="21" fillId="0" borderId="5" xfId="0" applyFont="1" applyFill="1" applyBorder="1" applyAlignment="1">
      <alignment horizontal="center" vertical="top"/>
    </xf>
    <xf numFmtId="0" fontId="21" fillId="0" borderId="6" xfId="0" applyFont="1" applyFill="1" applyBorder="1" applyAlignment="1">
      <alignment horizontal="center" vertical="top"/>
    </xf>
    <xf numFmtId="164" fontId="21" fillId="0" borderId="4" xfId="0" applyNumberFormat="1" applyFont="1" applyFill="1" applyBorder="1" applyAlignment="1">
      <alignment horizontal="center" vertical="top" wrapText="1"/>
    </xf>
    <xf numFmtId="164" fontId="21" fillId="0" borderId="5" xfId="0" applyNumberFormat="1" applyFont="1" applyFill="1" applyBorder="1" applyAlignment="1">
      <alignment horizontal="center" vertical="top"/>
    </xf>
    <xf numFmtId="164" fontId="21" fillId="0" borderId="6" xfId="0" applyNumberFormat="1" applyFont="1" applyFill="1" applyBorder="1" applyAlignment="1">
      <alignment horizontal="center" vertical="top"/>
    </xf>
    <xf numFmtId="166" fontId="19" fillId="3" borderId="4" xfId="0" applyNumberFormat="1" applyFont="1" applyFill="1" applyBorder="1" applyAlignment="1">
      <alignment horizontal="center" vertical="top"/>
    </xf>
    <xf numFmtId="166" fontId="19" fillId="3" borderId="5" xfId="0" applyNumberFormat="1" applyFont="1" applyFill="1" applyBorder="1" applyAlignment="1">
      <alignment horizontal="center" vertical="top"/>
    </xf>
    <xf numFmtId="166" fontId="19" fillId="3" borderId="6" xfId="0" applyNumberFormat="1" applyFont="1" applyFill="1" applyBorder="1" applyAlignment="1">
      <alignment horizontal="center" vertical="top"/>
    </xf>
    <xf numFmtId="49" fontId="21" fillId="3" borderId="1" xfId="6" applyNumberFormat="1" applyFont="1" applyFill="1" applyBorder="1" applyAlignment="1">
      <alignment horizontal="center" vertical="center" wrapText="1"/>
    </xf>
    <xf numFmtId="166" fontId="21" fillId="0" borderId="4" xfId="0" applyNumberFormat="1" applyFont="1" applyFill="1" applyBorder="1" applyAlignment="1">
      <alignment horizontal="center" vertical="top"/>
    </xf>
    <xf numFmtId="0" fontId="19" fillId="0" borderId="1" xfId="0" applyFont="1" applyFill="1" applyBorder="1" applyAlignment="1">
      <alignment horizontal="left" vertical="top" wrapText="1"/>
    </xf>
    <xf numFmtId="164" fontId="19" fillId="4" borderId="1" xfId="1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166" fontId="21" fillId="3" borderId="4" xfId="6" applyNumberFormat="1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9" fillId="3" borderId="4" xfId="6" applyFont="1" applyFill="1" applyBorder="1" applyAlignment="1">
      <alignment horizontal="left" vertical="top" wrapText="1"/>
    </xf>
    <xf numFmtId="0" fontId="15" fillId="3" borderId="5" xfId="0" applyFont="1" applyFill="1" applyBorder="1" applyAlignment="1">
      <alignment horizontal="left" vertical="top" wrapText="1"/>
    </xf>
    <xf numFmtId="0" fontId="15" fillId="3" borderId="6" xfId="0" applyFont="1" applyFill="1" applyBorder="1" applyAlignment="1">
      <alignment horizontal="left" vertical="top" wrapText="1"/>
    </xf>
    <xf numFmtId="0" fontId="21" fillId="8" borderId="1" xfId="6" applyFont="1" applyFill="1" applyBorder="1" applyAlignment="1">
      <alignment horizontal="left" vertical="center" wrapText="1"/>
    </xf>
  </cellXfs>
  <cellStyles count="11">
    <cellStyle name="Обычный" xfId="0" builtinId="0"/>
    <cellStyle name="Обычный 2" xfId="6"/>
    <cellStyle name="Обычный 2 2" xfId="5"/>
    <cellStyle name="Обычный 2 2 12 5" xfId="9"/>
    <cellStyle name="Обычный 2 66 3 2 2" xfId="8"/>
    <cellStyle name="Обычный 3" xfId="2"/>
    <cellStyle name="Обычный 3 4 2" xfId="7"/>
    <cellStyle name="Обычный 5" xfId="1"/>
    <cellStyle name="Обычный 6 2 13 2" xfId="10"/>
    <cellStyle name="Процентный" xfId="4" builtinId="5"/>
    <cellStyle name="Процентный 2 2" xfId="3"/>
  </cellStyles>
  <dxfs count="0"/>
  <tableStyles count="0" defaultTableStyle="TableStyleMedium2" defaultPivotStyle="PivotStyleMedium9"/>
  <colors>
    <mruColors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tabSelected="1" zoomScale="80" zoomScaleNormal="80" workbookViewId="0">
      <pane ySplit="4" topLeftCell="A5" activePane="bottomLeft" state="frozen"/>
      <selection pane="bottomLeft" activeCell="L10" sqref="L10:L14"/>
    </sheetView>
  </sheetViews>
  <sheetFormatPr defaultRowHeight="15" x14ac:dyDescent="0.25"/>
  <cols>
    <col min="1" max="1" width="7.85546875" customWidth="1"/>
    <col min="2" max="2" width="41.140625" customWidth="1"/>
    <col min="3" max="3" width="13.140625" customWidth="1"/>
    <col min="4" max="4" width="18.85546875" bestFit="1" customWidth="1"/>
    <col min="5" max="5" width="16.140625" customWidth="1"/>
    <col min="6" max="6" width="12.85546875" customWidth="1"/>
    <col min="7" max="7" width="8.140625" customWidth="1"/>
    <col min="8" max="8" width="16.140625" customWidth="1"/>
    <col min="9" max="9" width="19.7109375" customWidth="1"/>
    <col min="10" max="10" width="20.7109375" customWidth="1"/>
    <col min="11" max="11" width="31.42578125" customWidth="1"/>
    <col min="12" max="12" width="76.85546875" customWidth="1"/>
    <col min="13" max="13" width="51.42578125" customWidth="1"/>
  </cols>
  <sheetData>
    <row r="1" spans="1:13" ht="15.75" x14ac:dyDescent="0.25">
      <c r="A1" s="1"/>
      <c r="B1" s="2"/>
      <c r="C1" s="3"/>
      <c r="D1" s="4"/>
      <c r="E1" s="4"/>
      <c r="F1" s="5"/>
      <c r="G1" s="6"/>
      <c r="H1" s="6"/>
      <c r="I1" s="6"/>
      <c r="J1" s="6"/>
      <c r="K1" s="3"/>
      <c r="L1" s="7"/>
      <c r="M1" s="27" t="s">
        <v>0</v>
      </c>
    </row>
    <row r="2" spans="1:13" ht="36" customHeight="1" x14ac:dyDescent="0.25">
      <c r="A2" s="82" t="s">
        <v>12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</row>
    <row r="3" spans="1:13" ht="33.75" customHeight="1" x14ac:dyDescent="0.25">
      <c r="A3" s="90" t="s">
        <v>1</v>
      </c>
      <c r="B3" s="81" t="s">
        <v>20</v>
      </c>
      <c r="C3" s="81" t="s">
        <v>2</v>
      </c>
      <c r="D3" s="81"/>
      <c r="E3" s="81"/>
      <c r="F3" s="91" t="s">
        <v>3</v>
      </c>
      <c r="G3" s="92" t="s">
        <v>90</v>
      </c>
      <c r="H3" s="93"/>
      <c r="I3" s="93"/>
      <c r="J3" s="93"/>
      <c r="K3" s="81" t="s">
        <v>16</v>
      </c>
      <c r="L3" s="81" t="s">
        <v>17</v>
      </c>
      <c r="M3" s="81" t="s">
        <v>25</v>
      </c>
    </row>
    <row r="4" spans="1:13" ht="53.25" customHeight="1" x14ac:dyDescent="0.25">
      <c r="A4" s="90"/>
      <c r="B4" s="81"/>
      <c r="C4" s="8" t="s">
        <v>4</v>
      </c>
      <c r="D4" s="9" t="s">
        <v>13</v>
      </c>
      <c r="E4" s="9" t="s">
        <v>5</v>
      </c>
      <c r="F4" s="91"/>
      <c r="G4" s="8" t="s">
        <v>6</v>
      </c>
      <c r="H4" s="26" t="s">
        <v>14</v>
      </c>
      <c r="I4" s="26" t="s">
        <v>15</v>
      </c>
      <c r="J4" s="26" t="s">
        <v>91</v>
      </c>
      <c r="K4" s="81"/>
      <c r="L4" s="81"/>
      <c r="M4" s="81"/>
    </row>
    <row r="5" spans="1:13" ht="15.75" x14ac:dyDescent="0.25">
      <c r="A5" s="103"/>
      <c r="B5" s="104" t="s">
        <v>7</v>
      </c>
      <c r="C5" s="17" t="s">
        <v>6</v>
      </c>
      <c r="D5" s="13">
        <f>SUM(D6:D9)</f>
        <v>172357035.16427729</v>
      </c>
      <c r="E5" s="13">
        <f>SUM(E6:E9)</f>
        <v>77071205.766269982</v>
      </c>
      <c r="F5" s="14">
        <f>E5/D5</f>
        <v>0.4471601968136184</v>
      </c>
      <c r="G5" s="97">
        <f>SUM(H5:J9)</f>
        <v>728</v>
      </c>
      <c r="H5" s="97">
        <f>H10+H15+H20+H25+H30+H35+H40+H45+H50+H55+H60+H65+H70+H75+H80+H85+H90+H95</f>
        <v>471</v>
      </c>
      <c r="I5" s="97">
        <f t="shared" ref="I5:J5" si="0">I10+I15+I20+I25+I30+I35+I40+I45+I50+I55+I60+I65+I70+I75+I80+I85+I90+I95</f>
        <v>176</v>
      </c>
      <c r="J5" s="97">
        <f t="shared" si="0"/>
        <v>81</v>
      </c>
      <c r="K5" s="100"/>
      <c r="L5" s="83"/>
      <c r="M5" s="95"/>
    </row>
    <row r="6" spans="1:13" ht="15.75" x14ac:dyDescent="0.25">
      <c r="A6" s="103"/>
      <c r="B6" s="104"/>
      <c r="C6" s="10" t="s">
        <v>8</v>
      </c>
      <c r="D6" s="11">
        <f>D11+D16+D21+D26+D31+D36+D41+D46+D51+D56+D61+D66+D71+D76+D81+D86+D91+D96</f>
        <v>121883709.55519</v>
      </c>
      <c r="E6" s="11">
        <f>E11+E16+E21+E26+E31+E36+E41+E46+E51+E56+E61+E66+E71+E76+E81+E86+E91+E96</f>
        <v>56788295.165971257</v>
      </c>
      <c r="F6" s="12">
        <f t="shared" ref="F6:F9" si="1">E6/D6</f>
        <v>0.46592194619952082</v>
      </c>
      <c r="G6" s="98"/>
      <c r="H6" s="98"/>
      <c r="I6" s="98"/>
      <c r="J6" s="98"/>
      <c r="K6" s="101"/>
      <c r="L6" s="84"/>
      <c r="M6" s="95"/>
    </row>
    <row r="7" spans="1:13" ht="15.75" x14ac:dyDescent="0.25">
      <c r="A7" s="103"/>
      <c r="B7" s="104"/>
      <c r="C7" s="10" t="s">
        <v>9</v>
      </c>
      <c r="D7" s="11">
        <f t="shared" ref="D7:E9" si="2">D12+D17+D22+D27+D32+D37+D42+D47+D52+D57+D62+D67+D72+D77+D82+D87+D92+D97</f>
        <v>18965963.330670003</v>
      </c>
      <c r="E7" s="11">
        <f t="shared" si="2"/>
        <v>6232862.5937087322</v>
      </c>
      <c r="F7" s="12">
        <f t="shared" si="1"/>
        <v>0.32863411602349368</v>
      </c>
      <c r="G7" s="98"/>
      <c r="H7" s="98"/>
      <c r="I7" s="98"/>
      <c r="J7" s="98"/>
      <c r="K7" s="101"/>
      <c r="L7" s="84"/>
      <c r="M7" s="95"/>
    </row>
    <row r="8" spans="1:13" ht="15.75" x14ac:dyDescent="0.25">
      <c r="A8" s="103"/>
      <c r="B8" s="104"/>
      <c r="C8" s="10" t="s">
        <v>10</v>
      </c>
      <c r="D8" s="11">
        <f t="shared" si="2"/>
        <v>1972349.4731473001</v>
      </c>
      <c r="E8" s="11">
        <f t="shared" si="2"/>
        <v>545542.09608000005</v>
      </c>
      <c r="F8" s="15">
        <f t="shared" si="1"/>
        <v>0.27659504743318758</v>
      </c>
      <c r="G8" s="98"/>
      <c r="H8" s="98"/>
      <c r="I8" s="98"/>
      <c r="J8" s="98"/>
      <c r="K8" s="101"/>
      <c r="L8" s="84"/>
      <c r="M8" s="95"/>
    </row>
    <row r="9" spans="1:13" ht="15.75" x14ac:dyDescent="0.25">
      <c r="A9" s="103"/>
      <c r="B9" s="104"/>
      <c r="C9" s="10" t="s">
        <v>11</v>
      </c>
      <c r="D9" s="11">
        <f t="shared" si="2"/>
        <v>29535012.805269998</v>
      </c>
      <c r="E9" s="11">
        <f t="shared" si="2"/>
        <v>13504505.910510002</v>
      </c>
      <c r="F9" s="15">
        <f t="shared" si="1"/>
        <v>0.45723717810951359</v>
      </c>
      <c r="G9" s="99"/>
      <c r="H9" s="99"/>
      <c r="I9" s="99"/>
      <c r="J9" s="99"/>
      <c r="K9" s="102"/>
      <c r="L9" s="85"/>
      <c r="M9" s="95"/>
    </row>
    <row r="10" spans="1:13" ht="15.75" x14ac:dyDescent="0.25">
      <c r="A10" s="94">
        <v>1</v>
      </c>
      <c r="B10" s="86" t="s">
        <v>32</v>
      </c>
      <c r="C10" s="19" t="s">
        <v>6</v>
      </c>
      <c r="D10" s="20">
        <f>SUM(D11:D14)</f>
        <v>45475001.438610002</v>
      </c>
      <c r="E10" s="20">
        <f>SUM(E11:E14)</f>
        <v>22790619.44929</v>
      </c>
      <c r="F10" s="18">
        <f>IFERROR(E10/D10,0)</f>
        <v>0.50116808638382804</v>
      </c>
      <c r="G10" s="87">
        <f>SUM(H10:J14)</f>
        <v>71</v>
      </c>
      <c r="H10" s="87">
        <v>30</v>
      </c>
      <c r="I10" s="87">
        <v>30</v>
      </c>
      <c r="J10" s="87">
        <v>11</v>
      </c>
      <c r="K10" s="83" t="s">
        <v>33</v>
      </c>
      <c r="L10" s="83" t="s">
        <v>76</v>
      </c>
      <c r="M10" s="95" t="s">
        <v>77</v>
      </c>
    </row>
    <row r="11" spans="1:13" ht="15.75" x14ac:dyDescent="0.25">
      <c r="A11" s="94"/>
      <c r="B11" s="86"/>
      <c r="C11" s="21" t="s">
        <v>8</v>
      </c>
      <c r="D11" s="22">
        <v>16393132.238610003</v>
      </c>
      <c r="E11" s="22">
        <v>8667007.1382300016</v>
      </c>
      <c r="F11" s="16">
        <f t="shared" ref="F11:F14" si="3">IFERROR(E11/D11,0)</f>
        <v>0.5286974454959249</v>
      </c>
      <c r="G11" s="88"/>
      <c r="H11" s="88"/>
      <c r="I11" s="88"/>
      <c r="J11" s="88"/>
      <c r="K11" s="84"/>
      <c r="L11" s="84"/>
      <c r="M11" s="95"/>
    </row>
    <row r="12" spans="1:13" ht="15.75" x14ac:dyDescent="0.25">
      <c r="A12" s="94"/>
      <c r="B12" s="86"/>
      <c r="C12" s="21" t="s">
        <v>9</v>
      </c>
      <c r="D12" s="22">
        <v>1651295.2</v>
      </c>
      <c r="E12" s="22">
        <v>966351.11105999991</v>
      </c>
      <c r="F12" s="16">
        <f t="shared" si="3"/>
        <v>0.58520796951387</v>
      </c>
      <c r="G12" s="88"/>
      <c r="H12" s="88"/>
      <c r="I12" s="88"/>
      <c r="J12" s="88"/>
      <c r="K12" s="84"/>
      <c r="L12" s="84"/>
      <c r="M12" s="95"/>
    </row>
    <row r="13" spans="1:13" ht="15.75" x14ac:dyDescent="0.25">
      <c r="A13" s="94"/>
      <c r="B13" s="86"/>
      <c r="C13" s="21" t="s">
        <v>10</v>
      </c>
      <c r="D13" s="22">
        <v>0</v>
      </c>
      <c r="E13" s="22">
        <v>0</v>
      </c>
      <c r="F13" s="16">
        <f t="shared" si="3"/>
        <v>0</v>
      </c>
      <c r="G13" s="88"/>
      <c r="H13" s="88"/>
      <c r="I13" s="88"/>
      <c r="J13" s="88"/>
      <c r="K13" s="84"/>
      <c r="L13" s="84"/>
      <c r="M13" s="95"/>
    </row>
    <row r="14" spans="1:13" ht="82.5" customHeight="1" x14ac:dyDescent="0.25">
      <c r="A14" s="94"/>
      <c r="B14" s="86"/>
      <c r="C14" s="23" t="s">
        <v>11</v>
      </c>
      <c r="D14" s="24">
        <v>27430574</v>
      </c>
      <c r="E14" s="24">
        <v>13157261.199999999</v>
      </c>
      <c r="F14" s="25">
        <f t="shared" si="3"/>
        <v>0.47965679464089955</v>
      </c>
      <c r="G14" s="89"/>
      <c r="H14" s="89"/>
      <c r="I14" s="89"/>
      <c r="J14" s="89"/>
      <c r="K14" s="85"/>
      <c r="L14" s="85"/>
      <c r="M14" s="95"/>
    </row>
    <row r="15" spans="1:13" ht="15.75" x14ac:dyDescent="0.25">
      <c r="A15" s="94">
        <v>2</v>
      </c>
      <c r="B15" s="86" t="s">
        <v>34</v>
      </c>
      <c r="C15" s="19" t="s">
        <v>6</v>
      </c>
      <c r="D15" s="20">
        <f>SUM(D16:D19)</f>
        <v>30187573.838659998</v>
      </c>
      <c r="E15" s="20">
        <f>SUM(E16:E19)</f>
        <v>17499837.43124</v>
      </c>
      <c r="F15" s="18">
        <f>IFERROR(E15/D15,0)</f>
        <v>0.57970334167195214</v>
      </c>
      <c r="G15" s="87">
        <f t="shared" ref="G15" si="4">SUM(H15:J19)</f>
        <v>60</v>
      </c>
      <c r="H15" s="87">
        <v>43</v>
      </c>
      <c r="I15" s="87">
        <v>13</v>
      </c>
      <c r="J15" s="87">
        <v>4</v>
      </c>
      <c r="K15" s="83" t="s">
        <v>35</v>
      </c>
      <c r="L15" s="83" t="s">
        <v>65</v>
      </c>
      <c r="M15" s="95" t="s">
        <v>66</v>
      </c>
    </row>
    <row r="16" spans="1:13" ht="15.75" x14ac:dyDescent="0.25">
      <c r="A16" s="94"/>
      <c r="B16" s="86"/>
      <c r="C16" s="21" t="s">
        <v>8</v>
      </c>
      <c r="D16" s="22">
        <v>26575133.258769996</v>
      </c>
      <c r="E16" s="22">
        <v>15868161.164689999</v>
      </c>
      <c r="F16" s="16">
        <f t="shared" ref="F16:F19" si="5">IFERROR(E16/D16,0)</f>
        <v>0.59710561035299359</v>
      </c>
      <c r="G16" s="88"/>
      <c r="H16" s="88"/>
      <c r="I16" s="88"/>
      <c r="J16" s="88"/>
      <c r="K16" s="84"/>
      <c r="L16" s="84"/>
      <c r="M16" s="95"/>
    </row>
    <row r="17" spans="1:13" ht="15.75" x14ac:dyDescent="0.25">
      <c r="A17" s="94"/>
      <c r="B17" s="86"/>
      <c r="C17" s="21" t="s">
        <v>9</v>
      </c>
      <c r="D17" s="22">
        <v>2972184.8</v>
      </c>
      <c r="E17" s="22">
        <v>1464725.3250500001</v>
      </c>
      <c r="F17" s="16">
        <f t="shared" si="5"/>
        <v>0.49281098707254012</v>
      </c>
      <c r="G17" s="88"/>
      <c r="H17" s="88"/>
      <c r="I17" s="88"/>
      <c r="J17" s="88"/>
      <c r="K17" s="84"/>
      <c r="L17" s="84"/>
      <c r="M17" s="95"/>
    </row>
    <row r="18" spans="1:13" ht="15.75" x14ac:dyDescent="0.25">
      <c r="A18" s="94"/>
      <c r="B18" s="86"/>
      <c r="C18" s="21" t="s">
        <v>10</v>
      </c>
      <c r="D18" s="22">
        <v>390255.77989000001</v>
      </c>
      <c r="E18" s="22">
        <v>108636.59368000001</v>
      </c>
      <c r="F18" s="16">
        <f t="shared" si="5"/>
        <v>0.2783727987593701</v>
      </c>
      <c r="G18" s="88"/>
      <c r="H18" s="88"/>
      <c r="I18" s="88"/>
      <c r="J18" s="88"/>
      <c r="K18" s="84"/>
      <c r="L18" s="84"/>
      <c r="M18" s="95"/>
    </row>
    <row r="19" spans="1:13" ht="114.75" customHeight="1" x14ac:dyDescent="0.25">
      <c r="A19" s="94"/>
      <c r="B19" s="86"/>
      <c r="C19" s="23" t="s">
        <v>11</v>
      </c>
      <c r="D19" s="24">
        <v>250000</v>
      </c>
      <c r="E19" s="24">
        <v>58314.347820000003</v>
      </c>
      <c r="F19" s="25">
        <f t="shared" si="5"/>
        <v>0.23325739128</v>
      </c>
      <c r="G19" s="89"/>
      <c r="H19" s="89"/>
      <c r="I19" s="89"/>
      <c r="J19" s="89"/>
      <c r="K19" s="85"/>
      <c r="L19" s="85"/>
      <c r="M19" s="95"/>
    </row>
    <row r="20" spans="1:13" ht="15.75" x14ac:dyDescent="0.25">
      <c r="A20" s="94">
        <v>3</v>
      </c>
      <c r="B20" s="86" t="s">
        <v>36</v>
      </c>
      <c r="C20" s="19" t="s">
        <v>6</v>
      </c>
      <c r="D20" s="20">
        <f>SUM(D21:D24)</f>
        <v>22200262.926999997</v>
      </c>
      <c r="E20" s="20">
        <f>SUM(E21:E24)</f>
        <v>10937331.479989998</v>
      </c>
      <c r="F20" s="18">
        <f>IFERROR(E20/D20,0)</f>
        <v>0.49266675426118478</v>
      </c>
      <c r="G20" s="87">
        <f t="shared" ref="G20" si="6">SUM(H20:J24)</f>
        <v>160</v>
      </c>
      <c r="H20" s="87">
        <v>142</v>
      </c>
      <c r="I20" s="87">
        <v>16</v>
      </c>
      <c r="J20" s="87">
        <v>2</v>
      </c>
      <c r="K20" s="83" t="s">
        <v>37</v>
      </c>
      <c r="L20" s="83" t="s">
        <v>38</v>
      </c>
      <c r="M20" s="95" t="s">
        <v>55</v>
      </c>
    </row>
    <row r="21" spans="1:13" ht="15.75" x14ac:dyDescent="0.25">
      <c r="A21" s="94"/>
      <c r="B21" s="86"/>
      <c r="C21" s="21" t="s">
        <v>8</v>
      </c>
      <c r="D21" s="22">
        <v>19377323.026999999</v>
      </c>
      <c r="E21" s="22">
        <v>9536385.2195699979</v>
      </c>
      <c r="F21" s="16">
        <f t="shared" ref="F21:F24" si="7">IFERROR(E21/D21,0)</f>
        <v>0.49214152059508826</v>
      </c>
      <c r="G21" s="88"/>
      <c r="H21" s="88"/>
      <c r="I21" s="88"/>
      <c r="J21" s="88"/>
      <c r="K21" s="84"/>
      <c r="L21" s="84"/>
      <c r="M21" s="95"/>
    </row>
    <row r="22" spans="1:13" ht="15.75" x14ac:dyDescent="0.25">
      <c r="A22" s="94"/>
      <c r="B22" s="86"/>
      <c r="C22" s="21" t="s">
        <v>9</v>
      </c>
      <c r="D22" s="22">
        <v>2822939.9</v>
      </c>
      <c r="E22" s="22">
        <v>1400946.2604199999</v>
      </c>
      <c r="F22" s="16">
        <f t="shared" si="7"/>
        <v>0.49627208160542136</v>
      </c>
      <c r="G22" s="88"/>
      <c r="H22" s="88"/>
      <c r="I22" s="88"/>
      <c r="J22" s="88"/>
      <c r="K22" s="84"/>
      <c r="L22" s="84"/>
      <c r="M22" s="95"/>
    </row>
    <row r="23" spans="1:13" ht="15.75" x14ac:dyDescent="0.25">
      <c r="A23" s="94"/>
      <c r="B23" s="86"/>
      <c r="C23" s="21" t="s">
        <v>10</v>
      </c>
      <c r="D23" s="22">
        <v>0</v>
      </c>
      <c r="E23" s="22">
        <v>0</v>
      </c>
      <c r="F23" s="16">
        <f t="shared" si="7"/>
        <v>0</v>
      </c>
      <c r="G23" s="88"/>
      <c r="H23" s="88"/>
      <c r="I23" s="88"/>
      <c r="J23" s="88"/>
      <c r="K23" s="84"/>
      <c r="L23" s="84"/>
      <c r="M23" s="95"/>
    </row>
    <row r="24" spans="1:13" ht="70.5" customHeight="1" x14ac:dyDescent="0.25">
      <c r="A24" s="94"/>
      <c r="B24" s="86"/>
      <c r="C24" s="23" t="s">
        <v>11</v>
      </c>
      <c r="D24" s="24">
        <v>0</v>
      </c>
      <c r="E24" s="24">
        <v>0</v>
      </c>
      <c r="F24" s="25">
        <f t="shared" si="7"/>
        <v>0</v>
      </c>
      <c r="G24" s="89"/>
      <c r="H24" s="89"/>
      <c r="I24" s="89"/>
      <c r="J24" s="89"/>
      <c r="K24" s="85"/>
      <c r="L24" s="85"/>
      <c r="M24" s="95"/>
    </row>
    <row r="25" spans="1:13" ht="15.75" x14ac:dyDescent="0.25">
      <c r="A25" s="94">
        <v>4</v>
      </c>
      <c r="B25" s="86" t="s">
        <v>39</v>
      </c>
      <c r="C25" s="19" t="s">
        <v>6</v>
      </c>
      <c r="D25" s="20">
        <f>SUM(D26:D29)</f>
        <v>3021694.27354</v>
      </c>
      <c r="E25" s="20">
        <f>SUM(E26:E29)</f>
        <v>952975.01104999997</v>
      </c>
      <c r="F25" s="18">
        <f>IFERROR(E25/D25,0)</f>
        <v>0.31537770693577244</v>
      </c>
      <c r="G25" s="87">
        <f t="shared" ref="G25" si="8">SUM(H25:J29)</f>
        <v>31</v>
      </c>
      <c r="H25" s="87">
        <v>13</v>
      </c>
      <c r="I25" s="87">
        <v>17</v>
      </c>
      <c r="J25" s="87">
        <v>1</v>
      </c>
      <c r="K25" s="83" t="s">
        <v>40</v>
      </c>
      <c r="L25" s="83" t="s">
        <v>67</v>
      </c>
      <c r="M25" s="95" t="s">
        <v>68</v>
      </c>
    </row>
    <row r="26" spans="1:13" ht="15.75" x14ac:dyDescent="0.25">
      <c r="A26" s="94"/>
      <c r="B26" s="86"/>
      <c r="C26" s="21" t="s">
        <v>8</v>
      </c>
      <c r="D26" s="22">
        <v>2667963.5713</v>
      </c>
      <c r="E26" s="22">
        <v>941183.77676000004</v>
      </c>
      <c r="F26" s="16">
        <f t="shared" ref="F26:F29" si="9">IFERROR(E26/D26,0)</f>
        <v>0.35277234924965484</v>
      </c>
      <c r="G26" s="88"/>
      <c r="H26" s="88"/>
      <c r="I26" s="88"/>
      <c r="J26" s="88"/>
      <c r="K26" s="84"/>
      <c r="L26" s="84"/>
      <c r="M26" s="95"/>
    </row>
    <row r="27" spans="1:13" ht="15.75" x14ac:dyDescent="0.25">
      <c r="A27" s="94"/>
      <c r="B27" s="86"/>
      <c r="C27" s="21" t="s">
        <v>9</v>
      </c>
      <c r="D27" s="22">
        <v>353145.60224000004</v>
      </c>
      <c r="E27" s="22">
        <v>11206.13429</v>
      </c>
      <c r="F27" s="16">
        <f t="shared" si="9"/>
        <v>3.1732334252273196E-2</v>
      </c>
      <c r="G27" s="88"/>
      <c r="H27" s="88"/>
      <c r="I27" s="88"/>
      <c r="J27" s="88"/>
      <c r="K27" s="84"/>
      <c r="L27" s="84"/>
      <c r="M27" s="95"/>
    </row>
    <row r="28" spans="1:13" ht="15.75" x14ac:dyDescent="0.25">
      <c r="A28" s="94"/>
      <c r="B28" s="86"/>
      <c r="C28" s="21" t="s">
        <v>10</v>
      </c>
      <c r="D28" s="22">
        <v>585.1</v>
      </c>
      <c r="E28" s="22">
        <v>585.1</v>
      </c>
      <c r="F28" s="16">
        <f t="shared" si="9"/>
        <v>1</v>
      </c>
      <c r="G28" s="88"/>
      <c r="H28" s="88"/>
      <c r="I28" s="88"/>
      <c r="J28" s="88"/>
      <c r="K28" s="84"/>
      <c r="L28" s="84"/>
      <c r="M28" s="95"/>
    </row>
    <row r="29" spans="1:13" ht="87.75" customHeight="1" x14ac:dyDescent="0.25">
      <c r="A29" s="94"/>
      <c r="B29" s="86"/>
      <c r="C29" s="23" t="s">
        <v>11</v>
      </c>
      <c r="D29" s="24">
        <v>0</v>
      </c>
      <c r="E29" s="24">
        <v>0</v>
      </c>
      <c r="F29" s="25">
        <f t="shared" si="9"/>
        <v>0</v>
      </c>
      <c r="G29" s="89"/>
      <c r="H29" s="89"/>
      <c r="I29" s="89"/>
      <c r="J29" s="89"/>
      <c r="K29" s="85"/>
      <c r="L29" s="85"/>
      <c r="M29" s="95"/>
    </row>
    <row r="30" spans="1:13" ht="15.75" customHeight="1" x14ac:dyDescent="0.25">
      <c r="A30" s="94">
        <v>5</v>
      </c>
      <c r="B30" s="86" t="s">
        <v>41</v>
      </c>
      <c r="C30" s="19" t="s">
        <v>6</v>
      </c>
      <c r="D30" s="20">
        <f>SUM(D31:D34)</f>
        <v>2524141.6679500001</v>
      </c>
      <c r="E30" s="20">
        <f>SUM(E31:E34)</f>
        <v>1075193.6960100003</v>
      </c>
      <c r="F30" s="18">
        <f>IFERROR(E30/D30,0)</f>
        <v>0.42596408500447863</v>
      </c>
      <c r="G30" s="87">
        <f t="shared" ref="G30" si="10">SUM(H30:J34)</f>
        <v>29</v>
      </c>
      <c r="H30" s="87">
        <v>18</v>
      </c>
      <c r="I30" s="87">
        <v>6</v>
      </c>
      <c r="J30" s="87">
        <v>5</v>
      </c>
      <c r="K30" s="83" t="s">
        <v>42</v>
      </c>
      <c r="L30" s="83" t="s">
        <v>56</v>
      </c>
      <c r="M30" s="95" t="s">
        <v>57</v>
      </c>
    </row>
    <row r="31" spans="1:13" ht="15.75" x14ac:dyDescent="0.25">
      <c r="A31" s="94"/>
      <c r="B31" s="86"/>
      <c r="C31" s="21" t="s">
        <v>8</v>
      </c>
      <c r="D31" s="22">
        <v>2124761.4512300002</v>
      </c>
      <c r="E31" s="22">
        <v>967828.7418800001</v>
      </c>
      <c r="F31" s="16">
        <f t="shared" ref="F31:F34" si="11">IFERROR(E31/D31,0)</f>
        <v>0.45549995333346011</v>
      </c>
      <c r="G31" s="88"/>
      <c r="H31" s="88"/>
      <c r="I31" s="88"/>
      <c r="J31" s="88"/>
      <c r="K31" s="84"/>
      <c r="L31" s="84"/>
      <c r="M31" s="95"/>
    </row>
    <row r="32" spans="1:13" ht="15.75" x14ac:dyDescent="0.25">
      <c r="A32" s="94"/>
      <c r="B32" s="86"/>
      <c r="C32" s="21" t="s">
        <v>9</v>
      </c>
      <c r="D32" s="22">
        <v>355984.42000000004</v>
      </c>
      <c r="E32" s="22">
        <v>99932.342910000007</v>
      </c>
      <c r="F32" s="16">
        <f t="shared" si="11"/>
        <v>0.28072111389032134</v>
      </c>
      <c r="G32" s="88"/>
      <c r="H32" s="88"/>
      <c r="I32" s="88"/>
      <c r="J32" s="88"/>
      <c r="K32" s="84"/>
      <c r="L32" s="84"/>
      <c r="M32" s="95"/>
    </row>
    <row r="33" spans="1:13" ht="15.75" x14ac:dyDescent="0.25">
      <c r="A33" s="94"/>
      <c r="B33" s="86"/>
      <c r="C33" s="21" t="s">
        <v>10</v>
      </c>
      <c r="D33" s="22">
        <v>43395.796720000006</v>
      </c>
      <c r="E33" s="22">
        <v>7432.6112199999998</v>
      </c>
      <c r="F33" s="16">
        <f t="shared" si="11"/>
        <v>0.17127491097713848</v>
      </c>
      <c r="G33" s="88"/>
      <c r="H33" s="88"/>
      <c r="I33" s="88"/>
      <c r="J33" s="88"/>
      <c r="K33" s="84"/>
      <c r="L33" s="84"/>
      <c r="M33" s="95"/>
    </row>
    <row r="34" spans="1:13" ht="101.25" customHeight="1" x14ac:dyDescent="0.25">
      <c r="A34" s="94"/>
      <c r="B34" s="86"/>
      <c r="C34" s="23" t="s">
        <v>11</v>
      </c>
      <c r="D34" s="24">
        <v>0</v>
      </c>
      <c r="E34" s="24">
        <v>0</v>
      </c>
      <c r="F34" s="25">
        <f t="shared" si="11"/>
        <v>0</v>
      </c>
      <c r="G34" s="89"/>
      <c r="H34" s="89"/>
      <c r="I34" s="89"/>
      <c r="J34" s="89"/>
      <c r="K34" s="85"/>
      <c r="L34" s="85"/>
      <c r="M34" s="95"/>
    </row>
    <row r="35" spans="1:13" ht="15.75" x14ac:dyDescent="0.25">
      <c r="A35" s="94">
        <v>6</v>
      </c>
      <c r="B35" s="86" t="s">
        <v>43</v>
      </c>
      <c r="C35" s="19" t="s">
        <v>6</v>
      </c>
      <c r="D35" s="20">
        <f>SUM(D36:D39)</f>
        <v>1037292.3269999998</v>
      </c>
      <c r="E35" s="20">
        <f>SUM(E36:E39)</f>
        <v>458932.67099999991</v>
      </c>
      <c r="F35" s="18">
        <f>IFERROR(E35/D35,0)</f>
        <v>0.44243330356766442</v>
      </c>
      <c r="G35" s="87">
        <f t="shared" ref="G35" si="12">SUM(H35:J39)</f>
        <v>14</v>
      </c>
      <c r="H35" s="87">
        <v>11</v>
      </c>
      <c r="I35" s="87">
        <v>2</v>
      </c>
      <c r="J35" s="87">
        <v>1</v>
      </c>
      <c r="K35" s="83" t="s">
        <v>45</v>
      </c>
      <c r="L35" s="83" t="s">
        <v>58</v>
      </c>
      <c r="M35" s="95" t="s">
        <v>59</v>
      </c>
    </row>
    <row r="36" spans="1:13" ht="15.75" x14ac:dyDescent="0.25">
      <c r="A36" s="94"/>
      <c r="B36" s="86"/>
      <c r="C36" s="21" t="s">
        <v>8</v>
      </c>
      <c r="D36" s="22">
        <v>689155.52699999989</v>
      </c>
      <c r="E36" s="22">
        <v>311110.81199999992</v>
      </c>
      <c r="F36" s="16">
        <f t="shared" ref="F36:F39" si="13">IFERROR(E36/D36,0)</f>
        <v>0.45143773765308565</v>
      </c>
      <c r="G36" s="88"/>
      <c r="H36" s="88"/>
      <c r="I36" s="88"/>
      <c r="J36" s="88"/>
      <c r="K36" s="84"/>
      <c r="L36" s="84"/>
      <c r="M36" s="95"/>
    </row>
    <row r="37" spans="1:13" ht="15.75" x14ac:dyDescent="0.25">
      <c r="A37" s="94"/>
      <c r="B37" s="86"/>
      <c r="C37" s="21" t="s">
        <v>9</v>
      </c>
      <c r="D37" s="22">
        <v>298136.8</v>
      </c>
      <c r="E37" s="22">
        <v>109671.85900000001</v>
      </c>
      <c r="F37" s="16">
        <f t="shared" si="13"/>
        <v>0.36785750366945646</v>
      </c>
      <c r="G37" s="88"/>
      <c r="H37" s="88"/>
      <c r="I37" s="88"/>
      <c r="J37" s="88"/>
      <c r="K37" s="84"/>
      <c r="L37" s="84"/>
      <c r="M37" s="95"/>
    </row>
    <row r="38" spans="1:13" ht="15.75" x14ac:dyDescent="0.25">
      <c r="A38" s="94"/>
      <c r="B38" s="86"/>
      <c r="C38" s="21" t="s">
        <v>10</v>
      </c>
      <c r="D38" s="22">
        <v>0</v>
      </c>
      <c r="E38" s="22">
        <v>0</v>
      </c>
      <c r="F38" s="16">
        <f t="shared" si="13"/>
        <v>0</v>
      </c>
      <c r="G38" s="88"/>
      <c r="H38" s="88"/>
      <c r="I38" s="88"/>
      <c r="J38" s="88"/>
      <c r="K38" s="84"/>
      <c r="L38" s="84"/>
      <c r="M38" s="95"/>
    </row>
    <row r="39" spans="1:13" ht="102.75" customHeight="1" x14ac:dyDescent="0.25">
      <c r="A39" s="94"/>
      <c r="B39" s="86"/>
      <c r="C39" s="23" t="s">
        <v>11</v>
      </c>
      <c r="D39" s="24">
        <v>50000</v>
      </c>
      <c r="E39" s="24">
        <v>38150</v>
      </c>
      <c r="F39" s="25">
        <f t="shared" si="13"/>
        <v>0.76300000000000001</v>
      </c>
      <c r="G39" s="89"/>
      <c r="H39" s="89"/>
      <c r="I39" s="89"/>
      <c r="J39" s="89"/>
      <c r="K39" s="85"/>
      <c r="L39" s="85"/>
      <c r="M39" s="95"/>
    </row>
    <row r="40" spans="1:13" ht="15.75" x14ac:dyDescent="0.25">
      <c r="A40" s="94">
        <v>7</v>
      </c>
      <c r="B40" s="86" t="s">
        <v>44</v>
      </c>
      <c r="C40" s="19" t="s">
        <v>6</v>
      </c>
      <c r="D40" s="20">
        <f>SUM(D41:D44)</f>
        <v>14623117.52445</v>
      </c>
      <c r="E40" s="20">
        <f>SUM(E41:E44)</f>
        <v>2234742.35</v>
      </c>
      <c r="F40" s="18">
        <f>IFERROR(E40/D40,0)</f>
        <v>0.15282256647828266</v>
      </c>
      <c r="G40" s="87">
        <f t="shared" ref="G40" si="14">SUM(H40:J44)</f>
        <v>42</v>
      </c>
      <c r="H40" s="87">
        <v>17</v>
      </c>
      <c r="I40" s="87">
        <v>17</v>
      </c>
      <c r="J40" s="87">
        <v>8</v>
      </c>
      <c r="K40" s="83" t="s">
        <v>46</v>
      </c>
      <c r="L40" s="83" t="s">
        <v>78</v>
      </c>
      <c r="M40" s="95" t="s">
        <v>79</v>
      </c>
    </row>
    <row r="41" spans="1:13" ht="15.75" x14ac:dyDescent="0.25">
      <c r="A41" s="94"/>
      <c r="B41" s="86"/>
      <c r="C41" s="21" t="s">
        <v>8</v>
      </c>
      <c r="D41" s="22">
        <v>7853272.41445</v>
      </c>
      <c r="E41" s="22">
        <v>1033078.2918799999</v>
      </c>
      <c r="F41" s="16">
        <f t="shared" ref="F41:F44" si="15">IFERROR(E41/D41,0)</f>
        <v>0.13154749222491488</v>
      </c>
      <c r="G41" s="88"/>
      <c r="H41" s="88"/>
      <c r="I41" s="88"/>
      <c r="J41" s="88"/>
      <c r="K41" s="84"/>
      <c r="L41" s="84"/>
      <c r="M41" s="95"/>
    </row>
    <row r="42" spans="1:13" ht="15.75" x14ac:dyDescent="0.25">
      <c r="A42" s="94"/>
      <c r="B42" s="86"/>
      <c r="C42" s="21" t="s">
        <v>9</v>
      </c>
      <c r="D42" s="22">
        <v>6029465.5</v>
      </c>
      <c r="E42" s="22">
        <v>866980.73388000007</v>
      </c>
      <c r="F42" s="16">
        <f t="shared" si="15"/>
        <v>0.14379064510444584</v>
      </c>
      <c r="G42" s="88"/>
      <c r="H42" s="88"/>
      <c r="I42" s="88"/>
      <c r="J42" s="88"/>
      <c r="K42" s="84"/>
      <c r="L42" s="84"/>
      <c r="M42" s="95"/>
    </row>
    <row r="43" spans="1:13" ht="15.75" x14ac:dyDescent="0.25">
      <c r="A43" s="94"/>
      <c r="B43" s="86"/>
      <c r="C43" s="21" t="s">
        <v>10</v>
      </c>
      <c r="D43" s="22">
        <v>553379.61</v>
      </c>
      <c r="E43" s="22">
        <v>197666.02424</v>
      </c>
      <c r="F43" s="16">
        <f t="shared" si="15"/>
        <v>0.35719788128803664</v>
      </c>
      <c r="G43" s="88"/>
      <c r="H43" s="88"/>
      <c r="I43" s="88"/>
      <c r="J43" s="88"/>
      <c r="K43" s="84"/>
      <c r="L43" s="84"/>
      <c r="M43" s="95"/>
    </row>
    <row r="44" spans="1:13" ht="49.5" customHeight="1" x14ac:dyDescent="0.25">
      <c r="A44" s="94"/>
      <c r="B44" s="86"/>
      <c r="C44" s="23" t="s">
        <v>11</v>
      </c>
      <c r="D44" s="24">
        <v>187000</v>
      </c>
      <c r="E44" s="24">
        <v>137017.29999999999</v>
      </c>
      <c r="F44" s="25">
        <f t="shared" si="15"/>
        <v>0.73271283422459887</v>
      </c>
      <c r="G44" s="89"/>
      <c r="H44" s="89"/>
      <c r="I44" s="89"/>
      <c r="J44" s="89"/>
      <c r="K44" s="85"/>
      <c r="L44" s="85"/>
      <c r="M44" s="95"/>
    </row>
    <row r="45" spans="1:13" ht="15.75" x14ac:dyDescent="0.25">
      <c r="A45" s="94">
        <v>8</v>
      </c>
      <c r="B45" s="86" t="s">
        <v>47</v>
      </c>
      <c r="C45" s="19" t="s">
        <v>6</v>
      </c>
      <c r="D45" s="20">
        <f>SUM(D46:D49)</f>
        <v>2478409.1</v>
      </c>
      <c r="E45" s="20">
        <f>SUM(E46:E49)</f>
        <v>1135416.6999999997</v>
      </c>
      <c r="F45" s="18">
        <f>IFERROR(E45/D45,0)</f>
        <v>0.4581231968523678</v>
      </c>
      <c r="G45" s="87">
        <f t="shared" ref="G45" si="16">SUM(H45:J49)</f>
        <v>23</v>
      </c>
      <c r="H45" s="87">
        <v>21</v>
      </c>
      <c r="I45" s="87">
        <v>1</v>
      </c>
      <c r="J45" s="87">
        <v>1</v>
      </c>
      <c r="K45" s="83" t="s">
        <v>48</v>
      </c>
      <c r="L45" s="83" t="s">
        <v>60</v>
      </c>
      <c r="M45" s="95" t="s">
        <v>61</v>
      </c>
    </row>
    <row r="46" spans="1:13" ht="15.75" x14ac:dyDescent="0.25">
      <c r="A46" s="94"/>
      <c r="B46" s="86"/>
      <c r="C46" s="21" t="s">
        <v>8</v>
      </c>
      <c r="D46" s="22">
        <v>2478409.1</v>
      </c>
      <c r="E46" s="22">
        <v>1135416.6999999997</v>
      </c>
      <c r="F46" s="16">
        <f t="shared" ref="F46:F49" si="17">IFERROR(E46/D46,0)</f>
        <v>0.4581231968523678</v>
      </c>
      <c r="G46" s="88"/>
      <c r="H46" s="88"/>
      <c r="I46" s="88"/>
      <c r="J46" s="88"/>
      <c r="K46" s="84"/>
      <c r="L46" s="84"/>
      <c r="M46" s="95"/>
    </row>
    <row r="47" spans="1:13" ht="15.75" x14ac:dyDescent="0.25">
      <c r="A47" s="94"/>
      <c r="B47" s="86"/>
      <c r="C47" s="21" t="s">
        <v>9</v>
      </c>
      <c r="D47" s="22">
        <v>0</v>
      </c>
      <c r="E47" s="22">
        <v>0</v>
      </c>
      <c r="F47" s="16">
        <f t="shared" si="17"/>
        <v>0</v>
      </c>
      <c r="G47" s="88"/>
      <c r="H47" s="88"/>
      <c r="I47" s="88"/>
      <c r="J47" s="88"/>
      <c r="K47" s="84"/>
      <c r="L47" s="84"/>
      <c r="M47" s="95"/>
    </row>
    <row r="48" spans="1:13" ht="15.75" x14ac:dyDescent="0.25">
      <c r="A48" s="94"/>
      <c r="B48" s="86"/>
      <c r="C48" s="21" t="s">
        <v>10</v>
      </c>
      <c r="D48" s="22">
        <v>0</v>
      </c>
      <c r="E48" s="22">
        <v>0</v>
      </c>
      <c r="F48" s="16">
        <f t="shared" si="17"/>
        <v>0</v>
      </c>
      <c r="G48" s="88"/>
      <c r="H48" s="88"/>
      <c r="I48" s="88"/>
      <c r="J48" s="88"/>
      <c r="K48" s="84"/>
      <c r="L48" s="84"/>
      <c r="M48" s="95"/>
    </row>
    <row r="49" spans="1:13" ht="131.25" customHeight="1" x14ac:dyDescent="0.25">
      <c r="A49" s="94"/>
      <c r="B49" s="86"/>
      <c r="C49" s="23" t="s">
        <v>11</v>
      </c>
      <c r="D49" s="24">
        <v>0</v>
      </c>
      <c r="E49" s="24">
        <v>0</v>
      </c>
      <c r="F49" s="25">
        <f t="shared" si="17"/>
        <v>0</v>
      </c>
      <c r="G49" s="89"/>
      <c r="H49" s="89"/>
      <c r="I49" s="89"/>
      <c r="J49" s="89"/>
      <c r="K49" s="85"/>
      <c r="L49" s="85"/>
      <c r="M49" s="95"/>
    </row>
    <row r="50" spans="1:13" ht="15.75" x14ac:dyDescent="0.25">
      <c r="A50" s="94">
        <v>9</v>
      </c>
      <c r="B50" s="86" t="s">
        <v>49</v>
      </c>
      <c r="C50" s="19" t="s">
        <v>6</v>
      </c>
      <c r="D50" s="20">
        <f>SUM(D51:D54)</f>
        <v>955572.3720999998</v>
      </c>
      <c r="E50" s="20">
        <f>SUM(E51:E54)</f>
        <v>362976.47606999998</v>
      </c>
      <c r="F50" s="18">
        <f>IFERROR(E50/D50,0)</f>
        <v>0.37985241795167224</v>
      </c>
      <c r="G50" s="87">
        <f t="shared" ref="G50" si="18">SUM(H50:J54)</f>
        <v>47</v>
      </c>
      <c r="H50" s="87">
        <v>39</v>
      </c>
      <c r="I50" s="87">
        <v>4</v>
      </c>
      <c r="J50" s="87">
        <v>4</v>
      </c>
      <c r="K50" s="83" t="s">
        <v>80</v>
      </c>
      <c r="L50" s="83" t="s">
        <v>81</v>
      </c>
      <c r="M50" s="95" t="s">
        <v>82</v>
      </c>
    </row>
    <row r="51" spans="1:13" ht="15.75" x14ac:dyDescent="0.25">
      <c r="A51" s="94"/>
      <c r="B51" s="86"/>
      <c r="C51" s="21" t="s">
        <v>8</v>
      </c>
      <c r="D51" s="22">
        <v>540046.46366999997</v>
      </c>
      <c r="E51" s="22">
        <v>218401.75674999997</v>
      </c>
      <c r="F51" s="16">
        <f t="shared" ref="F51:F54" si="19">IFERROR(E51/D51,0)</f>
        <v>0.40441290044898109</v>
      </c>
      <c r="G51" s="88"/>
      <c r="H51" s="88"/>
      <c r="I51" s="88"/>
      <c r="J51" s="88"/>
      <c r="K51" s="84"/>
      <c r="L51" s="84"/>
      <c r="M51" s="95"/>
    </row>
    <row r="52" spans="1:13" ht="15.75" x14ac:dyDescent="0.25">
      <c r="A52" s="94"/>
      <c r="B52" s="86"/>
      <c r="C52" s="21" t="s">
        <v>9</v>
      </c>
      <c r="D52" s="22">
        <v>376630.20842999994</v>
      </c>
      <c r="E52" s="22">
        <v>144574.71932</v>
      </c>
      <c r="F52" s="16">
        <f t="shared" si="19"/>
        <v>0.38386384332437451</v>
      </c>
      <c r="G52" s="88"/>
      <c r="H52" s="88"/>
      <c r="I52" s="88"/>
      <c r="J52" s="88"/>
      <c r="K52" s="84"/>
      <c r="L52" s="84"/>
      <c r="M52" s="95"/>
    </row>
    <row r="53" spans="1:13" ht="15.75" x14ac:dyDescent="0.25">
      <c r="A53" s="94"/>
      <c r="B53" s="86"/>
      <c r="C53" s="21" t="s">
        <v>10</v>
      </c>
      <c r="D53" s="22">
        <v>1259.2</v>
      </c>
      <c r="E53" s="22">
        <v>0</v>
      </c>
      <c r="F53" s="16">
        <f t="shared" si="19"/>
        <v>0</v>
      </c>
      <c r="G53" s="88"/>
      <c r="H53" s="88"/>
      <c r="I53" s="88"/>
      <c r="J53" s="88"/>
      <c r="K53" s="84"/>
      <c r="L53" s="84"/>
      <c r="M53" s="95"/>
    </row>
    <row r="54" spans="1:13" ht="40.5" customHeight="1" x14ac:dyDescent="0.25">
      <c r="A54" s="94"/>
      <c r="B54" s="86"/>
      <c r="C54" s="23" t="s">
        <v>11</v>
      </c>
      <c r="D54" s="24">
        <v>37636.499999999993</v>
      </c>
      <c r="E54" s="24">
        <v>0</v>
      </c>
      <c r="F54" s="25">
        <f t="shared" si="19"/>
        <v>0</v>
      </c>
      <c r="G54" s="89"/>
      <c r="H54" s="89"/>
      <c r="I54" s="89"/>
      <c r="J54" s="89"/>
      <c r="K54" s="85"/>
      <c r="L54" s="85"/>
      <c r="M54" s="95"/>
    </row>
    <row r="55" spans="1:13" ht="15.75" x14ac:dyDescent="0.25">
      <c r="A55" s="94">
        <v>10</v>
      </c>
      <c r="B55" s="86" t="s">
        <v>50</v>
      </c>
      <c r="C55" s="19" t="s">
        <v>6</v>
      </c>
      <c r="D55" s="20">
        <f>SUM(D56:D59)</f>
        <v>904006.6</v>
      </c>
      <c r="E55" s="20">
        <f>SUM(E56:E59)</f>
        <v>453700.83238000004</v>
      </c>
      <c r="F55" s="18">
        <f>IFERROR(E55/D55,0)</f>
        <v>0.5018777875957986</v>
      </c>
      <c r="G55" s="87">
        <f t="shared" ref="G55" si="20">SUM(H55:J59)</f>
        <v>24</v>
      </c>
      <c r="H55" s="87">
        <v>13</v>
      </c>
      <c r="I55" s="87">
        <v>11</v>
      </c>
      <c r="J55" s="87">
        <v>0</v>
      </c>
      <c r="K55" s="83" t="s">
        <v>83</v>
      </c>
      <c r="L55" s="83" t="s">
        <v>84</v>
      </c>
      <c r="M55" s="95" t="s">
        <v>85</v>
      </c>
    </row>
    <row r="56" spans="1:13" ht="15.75" x14ac:dyDescent="0.25">
      <c r="A56" s="94"/>
      <c r="B56" s="86"/>
      <c r="C56" s="21" t="s">
        <v>8</v>
      </c>
      <c r="D56" s="22">
        <v>665513.1</v>
      </c>
      <c r="E56" s="22">
        <v>334242.78769126796</v>
      </c>
      <c r="F56" s="16">
        <f t="shared" ref="F56:F59" si="21">IFERROR(E56/D56,0)</f>
        <v>0.50223322079049681</v>
      </c>
      <c r="G56" s="88"/>
      <c r="H56" s="88"/>
      <c r="I56" s="88"/>
      <c r="J56" s="88"/>
      <c r="K56" s="84"/>
      <c r="L56" s="84"/>
      <c r="M56" s="95"/>
    </row>
    <row r="57" spans="1:13" ht="15.75" x14ac:dyDescent="0.25">
      <c r="A57" s="94"/>
      <c r="B57" s="86"/>
      <c r="C57" s="21" t="s">
        <v>9</v>
      </c>
      <c r="D57" s="22">
        <v>138984.5</v>
      </c>
      <c r="E57" s="22">
        <v>42633.74509873207</v>
      </c>
      <c r="F57" s="16">
        <f t="shared" si="21"/>
        <v>0.30675179677397169</v>
      </c>
      <c r="G57" s="88"/>
      <c r="H57" s="88"/>
      <c r="I57" s="88"/>
      <c r="J57" s="88"/>
      <c r="K57" s="84"/>
      <c r="L57" s="84"/>
      <c r="M57" s="95"/>
    </row>
    <row r="58" spans="1:13" ht="15.75" x14ac:dyDescent="0.25">
      <c r="A58" s="94"/>
      <c r="B58" s="86"/>
      <c r="C58" s="21" t="s">
        <v>10</v>
      </c>
      <c r="D58" s="22">
        <v>12090.5</v>
      </c>
      <c r="E58" s="22">
        <v>2279.5369000000001</v>
      </c>
      <c r="F58" s="16">
        <f t="shared" si="21"/>
        <v>0.18853950622389479</v>
      </c>
      <c r="G58" s="88"/>
      <c r="H58" s="88"/>
      <c r="I58" s="88"/>
      <c r="J58" s="88"/>
      <c r="K58" s="84"/>
      <c r="L58" s="84"/>
      <c r="M58" s="95"/>
    </row>
    <row r="59" spans="1:13" ht="135" customHeight="1" x14ac:dyDescent="0.25">
      <c r="A59" s="94"/>
      <c r="B59" s="86"/>
      <c r="C59" s="23" t="s">
        <v>11</v>
      </c>
      <c r="D59" s="24">
        <v>87418.5</v>
      </c>
      <c r="E59" s="24">
        <v>74544.762689999989</v>
      </c>
      <c r="F59" s="25">
        <f t="shared" si="21"/>
        <v>0.85273440621836327</v>
      </c>
      <c r="G59" s="89"/>
      <c r="H59" s="89"/>
      <c r="I59" s="89"/>
      <c r="J59" s="89"/>
      <c r="K59" s="85"/>
      <c r="L59" s="85"/>
      <c r="M59" s="95"/>
    </row>
    <row r="60" spans="1:13" ht="36.75" customHeight="1" x14ac:dyDescent="0.25">
      <c r="A60" s="94">
        <v>11</v>
      </c>
      <c r="B60" s="86" t="s">
        <v>18</v>
      </c>
      <c r="C60" s="19" t="s">
        <v>6</v>
      </c>
      <c r="D60" s="20">
        <f>SUM(D61:D64)</f>
        <v>3731088.25141</v>
      </c>
      <c r="E60" s="20">
        <f>SUM(E61:E64)</f>
        <v>265903.68721</v>
      </c>
      <c r="F60" s="18">
        <f>IFERROR(E60/D60,0)</f>
        <v>7.1267059177577335E-2</v>
      </c>
      <c r="G60" s="87">
        <f t="shared" ref="G60" si="22">SUM(H60:J64)</f>
        <v>45</v>
      </c>
      <c r="H60" s="87">
        <v>15</v>
      </c>
      <c r="I60" s="87">
        <v>23</v>
      </c>
      <c r="J60" s="87">
        <v>7</v>
      </c>
      <c r="K60" s="83" t="s">
        <v>19</v>
      </c>
      <c r="L60" s="83" t="s">
        <v>26</v>
      </c>
      <c r="M60" s="95" t="s">
        <v>28</v>
      </c>
    </row>
    <row r="61" spans="1:13" ht="15.75" x14ac:dyDescent="0.25">
      <c r="A61" s="94"/>
      <c r="B61" s="86"/>
      <c r="C61" s="21" t="s">
        <v>8</v>
      </c>
      <c r="D61" s="22">
        <v>2357851.5414100001</v>
      </c>
      <c r="E61" s="22">
        <v>221888.30721</v>
      </c>
      <c r="F61" s="16">
        <f t="shared" ref="F61:F64" si="23">IFERROR(E61/D61,0)</f>
        <v>9.4106139980853223E-2</v>
      </c>
      <c r="G61" s="88"/>
      <c r="H61" s="88"/>
      <c r="I61" s="88"/>
      <c r="J61" s="88"/>
      <c r="K61" s="84"/>
      <c r="L61" s="84"/>
      <c r="M61" s="95"/>
    </row>
    <row r="62" spans="1:13" ht="15.75" x14ac:dyDescent="0.25">
      <c r="A62" s="94"/>
      <c r="B62" s="86"/>
      <c r="C62" s="21" t="s">
        <v>9</v>
      </c>
      <c r="D62" s="22">
        <v>73139.899999999994</v>
      </c>
      <c r="E62" s="22">
        <v>4797.08</v>
      </c>
      <c r="F62" s="16">
        <f t="shared" si="23"/>
        <v>6.5587729816420318E-2</v>
      </c>
      <c r="G62" s="88"/>
      <c r="H62" s="88"/>
      <c r="I62" s="88"/>
      <c r="J62" s="88"/>
      <c r="K62" s="84"/>
      <c r="L62" s="84"/>
      <c r="M62" s="95"/>
    </row>
    <row r="63" spans="1:13" ht="15.75" x14ac:dyDescent="0.25">
      <c r="A63" s="94"/>
      <c r="B63" s="86"/>
      <c r="C63" s="21" t="s">
        <v>10</v>
      </c>
      <c r="D63" s="22">
        <v>0</v>
      </c>
      <c r="E63" s="22">
        <v>0</v>
      </c>
      <c r="F63" s="16">
        <f t="shared" si="23"/>
        <v>0</v>
      </c>
      <c r="G63" s="88"/>
      <c r="H63" s="88"/>
      <c r="I63" s="88"/>
      <c r="J63" s="88"/>
      <c r="K63" s="84"/>
      <c r="L63" s="84"/>
      <c r="M63" s="95"/>
    </row>
    <row r="64" spans="1:13" ht="78.75" customHeight="1" x14ac:dyDescent="0.25">
      <c r="A64" s="94"/>
      <c r="B64" s="86"/>
      <c r="C64" s="23" t="s">
        <v>11</v>
      </c>
      <c r="D64" s="24">
        <v>1300096.81</v>
      </c>
      <c r="E64" s="24">
        <v>39218.300000000003</v>
      </c>
      <c r="F64" s="25">
        <f t="shared" si="23"/>
        <v>3.0165676662186412E-2</v>
      </c>
      <c r="G64" s="89"/>
      <c r="H64" s="89"/>
      <c r="I64" s="89"/>
      <c r="J64" s="89"/>
      <c r="K64" s="85"/>
      <c r="L64" s="85"/>
      <c r="M64" s="95"/>
    </row>
    <row r="65" spans="1:13" ht="15.75" customHeight="1" x14ac:dyDescent="0.25">
      <c r="A65" s="94">
        <v>12</v>
      </c>
      <c r="B65" s="86" t="s">
        <v>21</v>
      </c>
      <c r="C65" s="19" t="s">
        <v>6</v>
      </c>
      <c r="D65" s="20">
        <f>SUM(D66:D69)</f>
        <v>1907488.4000000001</v>
      </c>
      <c r="E65" s="20">
        <f>SUM(E66:E69)</f>
        <v>643304.40743000002</v>
      </c>
      <c r="F65" s="18">
        <f>IFERROR(E65/D65,0)</f>
        <v>0.33725206791821116</v>
      </c>
      <c r="G65" s="87">
        <f t="shared" ref="G65" si="24">SUM(H65:J69)</f>
        <v>22</v>
      </c>
      <c r="H65" s="87">
        <v>18</v>
      </c>
      <c r="I65" s="87">
        <v>2</v>
      </c>
      <c r="J65" s="87">
        <v>2</v>
      </c>
      <c r="K65" s="83" t="s">
        <v>23</v>
      </c>
      <c r="L65" s="83" t="s">
        <v>27</v>
      </c>
      <c r="M65" s="96" t="s">
        <v>29</v>
      </c>
    </row>
    <row r="66" spans="1:13" ht="15.75" x14ac:dyDescent="0.25">
      <c r="A66" s="94"/>
      <c r="B66" s="86"/>
      <c r="C66" s="21" t="s">
        <v>8</v>
      </c>
      <c r="D66" s="22">
        <v>1895260.4000000001</v>
      </c>
      <c r="E66" s="22">
        <v>643304.40743000002</v>
      </c>
      <c r="F66" s="16">
        <f t="shared" ref="F66:F69" si="25">IFERROR(E66/D66,0)</f>
        <v>0.33942797909458772</v>
      </c>
      <c r="G66" s="88"/>
      <c r="H66" s="88"/>
      <c r="I66" s="88"/>
      <c r="J66" s="88"/>
      <c r="K66" s="84"/>
      <c r="L66" s="84"/>
      <c r="M66" s="96"/>
    </row>
    <row r="67" spans="1:13" ht="15.75" x14ac:dyDescent="0.25">
      <c r="A67" s="94"/>
      <c r="B67" s="86"/>
      <c r="C67" s="21" t="s">
        <v>9</v>
      </c>
      <c r="D67" s="22">
        <v>11966.7</v>
      </c>
      <c r="E67" s="22">
        <v>0</v>
      </c>
      <c r="F67" s="16">
        <f t="shared" si="25"/>
        <v>0</v>
      </c>
      <c r="G67" s="88"/>
      <c r="H67" s="88"/>
      <c r="I67" s="88"/>
      <c r="J67" s="88"/>
      <c r="K67" s="84"/>
      <c r="L67" s="84"/>
      <c r="M67" s="96"/>
    </row>
    <row r="68" spans="1:13" ht="15.75" x14ac:dyDescent="0.25">
      <c r="A68" s="94"/>
      <c r="B68" s="86"/>
      <c r="C68" s="21" t="s">
        <v>10</v>
      </c>
      <c r="D68" s="22">
        <v>261.3</v>
      </c>
      <c r="E68" s="22">
        <v>0</v>
      </c>
      <c r="F68" s="16">
        <f t="shared" si="25"/>
        <v>0</v>
      </c>
      <c r="G68" s="88"/>
      <c r="H68" s="88"/>
      <c r="I68" s="88"/>
      <c r="J68" s="88"/>
      <c r="K68" s="84"/>
      <c r="L68" s="84"/>
      <c r="M68" s="96"/>
    </row>
    <row r="69" spans="1:13" ht="71.25" customHeight="1" x14ac:dyDescent="0.25">
      <c r="A69" s="94"/>
      <c r="B69" s="86"/>
      <c r="C69" s="23" t="s">
        <v>11</v>
      </c>
      <c r="D69" s="24">
        <v>0</v>
      </c>
      <c r="E69" s="24">
        <v>0</v>
      </c>
      <c r="F69" s="25">
        <f t="shared" si="25"/>
        <v>0</v>
      </c>
      <c r="G69" s="89"/>
      <c r="H69" s="89"/>
      <c r="I69" s="89"/>
      <c r="J69" s="89"/>
      <c r="K69" s="85"/>
      <c r="L69" s="85"/>
      <c r="M69" s="96"/>
    </row>
    <row r="70" spans="1:13" ht="15.75" x14ac:dyDescent="0.25">
      <c r="A70" s="94">
        <v>13</v>
      </c>
      <c r="B70" s="86" t="s">
        <v>22</v>
      </c>
      <c r="C70" s="19" t="s">
        <v>6</v>
      </c>
      <c r="D70" s="20">
        <f>SUM(D71:D74)</f>
        <v>12869678.804759998</v>
      </c>
      <c r="E70" s="20">
        <f>SUM(E71:E74)</f>
        <v>7234774.0093100006</v>
      </c>
      <c r="F70" s="18">
        <f>IFERROR(E70/D70,0)</f>
        <v>0.56215653234750018</v>
      </c>
      <c r="G70" s="87">
        <f t="shared" ref="G70" si="26">SUM(H70:J74)</f>
        <v>15</v>
      </c>
      <c r="H70" s="87">
        <v>8</v>
      </c>
      <c r="I70" s="87">
        <v>1</v>
      </c>
      <c r="J70" s="87">
        <v>6</v>
      </c>
      <c r="K70" s="83" t="s">
        <v>24</v>
      </c>
      <c r="L70" s="83" t="s">
        <v>62</v>
      </c>
      <c r="M70" s="96" t="s">
        <v>55</v>
      </c>
    </row>
    <row r="71" spans="1:13" ht="15.75" x14ac:dyDescent="0.25">
      <c r="A71" s="94"/>
      <c r="B71" s="86"/>
      <c r="C71" s="21" t="s">
        <v>8</v>
      </c>
      <c r="D71" s="22">
        <v>11132687.804759998</v>
      </c>
      <c r="E71" s="22">
        <v>6366280.0093100006</v>
      </c>
      <c r="F71" s="16">
        <f t="shared" ref="F71:F74" si="27">IFERROR(E71/D71,0)</f>
        <v>0.57185471477857963</v>
      </c>
      <c r="G71" s="88"/>
      <c r="H71" s="88"/>
      <c r="I71" s="88"/>
      <c r="J71" s="88"/>
      <c r="K71" s="84"/>
      <c r="L71" s="84"/>
      <c r="M71" s="96"/>
    </row>
    <row r="72" spans="1:13" ht="15.75" x14ac:dyDescent="0.25">
      <c r="A72" s="94"/>
      <c r="B72" s="86"/>
      <c r="C72" s="21" t="s">
        <v>9</v>
      </c>
      <c r="D72" s="22">
        <v>1736991</v>
      </c>
      <c r="E72" s="22">
        <v>868494</v>
      </c>
      <c r="F72" s="16">
        <f t="shared" si="27"/>
        <v>0.49999913643766719</v>
      </c>
      <c r="G72" s="88"/>
      <c r="H72" s="88"/>
      <c r="I72" s="88"/>
      <c r="J72" s="88"/>
      <c r="K72" s="84"/>
      <c r="L72" s="84"/>
      <c r="M72" s="96"/>
    </row>
    <row r="73" spans="1:13" ht="15.75" x14ac:dyDescent="0.25">
      <c r="A73" s="94"/>
      <c r="B73" s="86"/>
      <c r="C73" s="21" t="s">
        <v>10</v>
      </c>
      <c r="D73" s="22">
        <v>0</v>
      </c>
      <c r="E73" s="22">
        <v>0</v>
      </c>
      <c r="F73" s="16">
        <f t="shared" si="27"/>
        <v>0</v>
      </c>
      <c r="G73" s="88"/>
      <c r="H73" s="88"/>
      <c r="I73" s="88"/>
      <c r="J73" s="88"/>
      <c r="K73" s="84"/>
      <c r="L73" s="84"/>
      <c r="M73" s="96"/>
    </row>
    <row r="74" spans="1:13" ht="33.75" customHeight="1" x14ac:dyDescent="0.25">
      <c r="A74" s="94"/>
      <c r="B74" s="86"/>
      <c r="C74" s="23" t="s">
        <v>11</v>
      </c>
      <c r="D74" s="24">
        <v>0</v>
      </c>
      <c r="E74" s="24">
        <v>0</v>
      </c>
      <c r="F74" s="25">
        <f t="shared" si="27"/>
        <v>0</v>
      </c>
      <c r="G74" s="89"/>
      <c r="H74" s="89"/>
      <c r="I74" s="89"/>
      <c r="J74" s="89"/>
      <c r="K74" s="85"/>
      <c r="L74" s="85"/>
      <c r="M74" s="96"/>
    </row>
    <row r="75" spans="1:13" ht="15.75" customHeight="1" x14ac:dyDescent="0.25">
      <c r="A75" s="94">
        <v>14</v>
      </c>
      <c r="B75" s="86" t="s">
        <v>30</v>
      </c>
      <c r="C75" s="19" t="s">
        <v>6</v>
      </c>
      <c r="D75" s="20">
        <f>SUM(D76:D79)</f>
        <v>3259062.7</v>
      </c>
      <c r="E75" s="20">
        <f>SUM(E76:E79)</f>
        <v>1226320.29054</v>
      </c>
      <c r="F75" s="18">
        <f>IFERROR(E75/D75,0)</f>
        <v>0.37628005455065344</v>
      </c>
      <c r="G75" s="87">
        <f t="shared" ref="G75" si="28">SUM(H75:J79)</f>
        <v>80</v>
      </c>
      <c r="H75" s="87">
        <v>36</v>
      </c>
      <c r="I75" s="87">
        <v>23</v>
      </c>
      <c r="J75" s="87">
        <v>21</v>
      </c>
      <c r="K75" s="83" t="s">
        <v>31</v>
      </c>
      <c r="L75" s="83" t="s">
        <v>86</v>
      </c>
      <c r="M75" s="96" t="s">
        <v>87</v>
      </c>
    </row>
    <row r="76" spans="1:13" ht="15.75" x14ac:dyDescent="0.25">
      <c r="A76" s="94"/>
      <c r="B76" s="86"/>
      <c r="C76" s="21" t="s">
        <v>8</v>
      </c>
      <c r="D76" s="22">
        <v>3166347</v>
      </c>
      <c r="E76" s="22">
        <v>1195362.79054</v>
      </c>
      <c r="F76" s="16">
        <f t="shared" ref="F76:F79" si="29">IFERROR(E76/D76,0)</f>
        <v>0.37752109624750541</v>
      </c>
      <c r="G76" s="88"/>
      <c r="H76" s="88"/>
      <c r="I76" s="88"/>
      <c r="J76" s="88"/>
      <c r="K76" s="84"/>
      <c r="L76" s="84"/>
      <c r="M76" s="96"/>
    </row>
    <row r="77" spans="1:13" ht="15.75" x14ac:dyDescent="0.25">
      <c r="A77" s="94"/>
      <c r="B77" s="86"/>
      <c r="C77" s="21" t="s">
        <v>9</v>
      </c>
      <c r="D77" s="22">
        <v>85476.7</v>
      </c>
      <c r="E77" s="22">
        <v>30957.5</v>
      </c>
      <c r="F77" s="16">
        <f t="shared" si="29"/>
        <v>0.36217472129831874</v>
      </c>
      <c r="G77" s="88"/>
      <c r="H77" s="88"/>
      <c r="I77" s="88"/>
      <c r="J77" s="88"/>
      <c r="K77" s="84"/>
      <c r="L77" s="84"/>
      <c r="M77" s="96"/>
    </row>
    <row r="78" spans="1:13" ht="15.75" x14ac:dyDescent="0.25">
      <c r="A78" s="94"/>
      <c r="B78" s="86"/>
      <c r="C78" s="21" t="s">
        <v>10</v>
      </c>
      <c r="D78" s="22">
        <v>239</v>
      </c>
      <c r="E78" s="22">
        <v>0</v>
      </c>
      <c r="F78" s="16">
        <f t="shared" si="29"/>
        <v>0</v>
      </c>
      <c r="G78" s="88"/>
      <c r="H78" s="88"/>
      <c r="I78" s="88"/>
      <c r="J78" s="88"/>
      <c r="K78" s="84"/>
      <c r="L78" s="84"/>
      <c r="M78" s="96"/>
    </row>
    <row r="79" spans="1:13" ht="119.25" customHeight="1" x14ac:dyDescent="0.25">
      <c r="A79" s="94"/>
      <c r="B79" s="86"/>
      <c r="C79" s="23" t="s">
        <v>11</v>
      </c>
      <c r="D79" s="24">
        <v>7000</v>
      </c>
      <c r="E79" s="24">
        <v>0</v>
      </c>
      <c r="F79" s="25">
        <f t="shared" si="29"/>
        <v>0</v>
      </c>
      <c r="G79" s="89"/>
      <c r="H79" s="89"/>
      <c r="I79" s="89"/>
      <c r="J79" s="89"/>
      <c r="K79" s="85"/>
      <c r="L79" s="85"/>
      <c r="M79" s="96"/>
    </row>
    <row r="80" spans="1:13" ht="15.75" x14ac:dyDescent="0.25">
      <c r="A80" s="94">
        <v>15</v>
      </c>
      <c r="B80" s="86" t="s">
        <v>51</v>
      </c>
      <c r="C80" s="19" t="s">
        <v>6</v>
      </c>
      <c r="D80" s="20">
        <f>SUM(D81:D84)</f>
        <v>15078230.360367298</v>
      </c>
      <c r="E80" s="20">
        <f>SUM(E81:E84)</f>
        <v>3072573.7159900004</v>
      </c>
      <c r="F80" s="18">
        <f>IFERROR(E80/D80,0)</f>
        <v>0.20377548575369783</v>
      </c>
      <c r="G80" s="87">
        <f t="shared" ref="G80" si="30">SUM(H80:J84)</f>
        <v>28</v>
      </c>
      <c r="H80" s="87">
        <v>21</v>
      </c>
      <c r="I80" s="87">
        <v>5</v>
      </c>
      <c r="J80" s="87">
        <v>2</v>
      </c>
      <c r="K80" s="83" t="s">
        <v>88</v>
      </c>
      <c r="L80" s="83" t="s">
        <v>89</v>
      </c>
      <c r="M80" s="95" t="s">
        <v>61</v>
      </c>
    </row>
    <row r="81" spans="1:13" ht="15.75" x14ac:dyDescent="0.25">
      <c r="A81" s="94"/>
      <c r="B81" s="86"/>
      <c r="C81" s="21" t="s">
        <v>8</v>
      </c>
      <c r="D81" s="22">
        <v>13643559.189499998</v>
      </c>
      <c r="E81" s="22">
        <v>2856356.9114000001</v>
      </c>
      <c r="F81" s="16">
        <f t="shared" ref="F81:F84" si="31">IFERROR(E81/D81,0)</f>
        <v>0.20935570196362216</v>
      </c>
      <c r="G81" s="88"/>
      <c r="H81" s="88"/>
      <c r="I81" s="88"/>
      <c r="J81" s="88"/>
      <c r="K81" s="84"/>
      <c r="L81" s="84"/>
      <c r="M81" s="95"/>
    </row>
    <row r="82" spans="1:13" ht="15.75" x14ac:dyDescent="0.25">
      <c r="A82" s="94"/>
      <c r="B82" s="86"/>
      <c r="C82" s="21" t="s">
        <v>9</v>
      </c>
      <c r="D82" s="22">
        <v>1193812.5</v>
      </c>
      <c r="E82" s="22">
        <v>188947.18</v>
      </c>
      <c r="F82" s="16">
        <f t="shared" si="31"/>
        <v>0.15827207371341814</v>
      </c>
      <c r="G82" s="88"/>
      <c r="H82" s="88"/>
      <c r="I82" s="88"/>
      <c r="J82" s="88"/>
      <c r="K82" s="84"/>
      <c r="L82" s="84"/>
      <c r="M82" s="95"/>
    </row>
    <row r="83" spans="1:13" ht="15.75" x14ac:dyDescent="0.25">
      <c r="A83" s="94"/>
      <c r="B83" s="86"/>
      <c r="C83" s="21" t="s">
        <v>10</v>
      </c>
      <c r="D83" s="22">
        <v>240858.67086730001</v>
      </c>
      <c r="E83" s="22">
        <v>27269.624589999999</v>
      </c>
      <c r="F83" s="16">
        <f t="shared" si="31"/>
        <v>0.11321836366449134</v>
      </c>
      <c r="G83" s="88"/>
      <c r="H83" s="88"/>
      <c r="I83" s="88"/>
      <c r="J83" s="88"/>
      <c r="K83" s="84"/>
      <c r="L83" s="84"/>
      <c r="M83" s="95"/>
    </row>
    <row r="84" spans="1:13" ht="84.75" customHeight="1" x14ac:dyDescent="0.25">
      <c r="A84" s="94"/>
      <c r="B84" s="86"/>
      <c r="C84" s="23" t="s">
        <v>11</v>
      </c>
      <c r="D84" s="24">
        <v>0</v>
      </c>
      <c r="E84" s="24">
        <v>0</v>
      </c>
      <c r="F84" s="25">
        <f t="shared" si="31"/>
        <v>0</v>
      </c>
      <c r="G84" s="89"/>
      <c r="H84" s="89"/>
      <c r="I84" s="89"/>
      <c r="J84" s="89"/>
      <c r="K84" s="85"/>
      <c r="L84" s="85"/>
      <c r="M84" s="95"/>
    </row>
    <row r="85" spans="1:13" ht="15.75" x14ac:dyDescent="0.25">
      <c r="A85" s="94">
        <v>16</v>
      </c>
      <c r="B85" s="86" t="s">
        <v>52</v>
      </c>
      <c r="C85" s="19" t="s">
        <v>6</v>
      </c>
      <c r="D85" s="20">
        <f>SUM(D86:D89)</f>
        <v>2395412.9697599998</v>
      </c>
      <c r="E85" s="20">
        <f>SUM(E86:E89)</f>
        <v>521596.86875999998</v>
      </c>
      <c r="F85" s="18">
        <f>IFERROR(E85/D85,0)</f>
        <v>0.21774820264593442</v>
      </c>
      <c r="G85" s="87">
        <f t="shared" ref="G85" si="32">SUM(H85:J89)</f>
        <v>8</v>
      </c>
      <c r="H85" s="87">
        <v>2</v>
      </c>
      <c r="I85" s="87">
        <v>3</v>
      </c>
      <c r="J85" s="87">
        <v>3</v>
      </c>
      <c r="K85" s="83" t="s">
        <v>69</v>
      </c>
      <c r="L85" s="83" t="s">
        <v>70</v>
      </c>
      <c r="M85" s="95" t="s">
        <v>71</v>
      </c>
    </row>
    <row r="86" spans="1:13" ht="15.75" x14ac:dyDescent="0.25">
      <c r="A86" s="94"/>
      <c r="B86" s="86"/>
      <c r="C86" s="21" t="s">
        <v>8</v>
      </c>
      <c r="D86" s="22">
        <v>1273307.1197599999</v>
      </c>
      <c r="E86" s="22">
        <v>290665.36063000001</v>
      </c>
      <c r="F86" s="16">
        <f t="shared" ref="F86:F89" si="33">IFERROR(E86/D86,0)</f>
        <v>0.22827592504531527</v>
      </c>
      <c r="G86" s="88"/>
      <c r="H86" s="88"/>
      <c r="I86" s="88"/>
      <c r="J86" s="88"/>
      <c r="K86" s="84"/>
      <c r="L86" s="84"/>
      <c r="M86" s="95"/>
    </row>
    <row r="87" spans="1:13" ht="15.75" x14ac:dyDescent="0.25">
      <c r="A87" s="94"/>
      <c r="B87" s="86"/>
      <c r="C87" s="21" t="s">
        <v>9</v>
      </c>
      <c r="D87" s="22">
        <v>403042.6</v>
      </c>
      <c r="E87" s="22">
        <v>32644.60268</v>
      </c>
      <c r="F87" s="16">
        <f t="shared" si="33"/>
        <v>8.0995415075230268E-2</v>
      </c>
      <c r="G87" s="88"/>
      <c r="H87" s="88"/>
      <c r="I87" s="88"/>
      <c r="J87" s="88"/>
      <c r="K87" s="84"/>
      <c r="L87" s="84"/>
      <c r="M87" s="95"/>
    </row>
    <row r="88" spans="1:13" ht="15.75" x14ac:dyDescent="0.25">
      <c r="A88" s="94"/>
      <c r="B88" s="86"/>
      <c r="C88" s="21" t="s">
        <v>10</v>
      </c>
      <c r="D88" s="22">
        <v>719063.25</v>
      </c>
      <c r="E88" s="22">
        <v>198286.90544999996</v>
      </c>
      <c r="F88" s="16">
        <f t="shared" si="33"/>
        <v>0.27575725146570895</v>
      </c>
      <c r="G88" s="88"/>
      <c r="H88" s="88"/>
      <c r="I88" s="88"/>
      <c r="J88" s="88"/>
      <c r="K88" s="84"/>
      <c r="L88" s="84"/>
      <c r="M88" s="95"/>
    </row>
    <row r="89" spans="1:13" ht="21.75" customHeight="1" x14ac:dyDescent="0.25">
      <c r="A89" s="94"/>
      <c r="B89" s="86"/>
      <c r="C89" s="23" t="s">
        <v>11</v>
      </c>
      <c r="D89" s="24">
        <v>0</v>
      </c>
      <c r="E89" s="24">
        <v>0</v>
      </c>
      <c r="F89" s="25">
        <f t="shared" si="33"/>
        <v>0</v>
      </c>
      <c r="G89" s="89"/>
      <c r="H89" s="89"/>
      <c r="I89" s="89"/>
      <c r="J89" s="89"/>
      <c r="K89" s="85"/>
      <c r="L89" s="85"/>
      <c r="M89" s="95"/>
    </row>
    <row r="90" spans="1:13" ht="15.75" customHeight="1" x14ac:dyDescent="0.25">
      <c r="A90" s="94">
        <v>17</v>
      </c>
      <c r="B90" s="86" t="s">
        <v>53</v>
      </c>
      <c r="C90" s="19" t="s">
        <v>6</v>
      </c>
      <c r="D90" s="20">
        <f>SUM(D91:D94)</f>
        <v>9434074.8886699993</v>
      </c>
      <c r="E90" s="20">
        <f>SUM(E91:E94)</f>
        <v>6096436.6000000006</v>
      </c>
      <c r="F90" s="18">
        <f>IFERROR(E90/D90,0)</f>
        <v>0.64621456496191398</v>
      </c>
      <c r="G90" s="87">
        <f t="shared" ref="G90" si="34">SUM(H90:J94)</f>
        <v>20</v>
      </c>
      <c r="H90" s="87">
        <v>17</v>
      </c>
      <c r="I90" s="87">
        <v>1</v>
      </c>
      <c r="J90" s="87">
        <v>2</v>
      </c>
      <c r="K90" s="83" t="s">
        <v>63</v>
      </c>
      <c r="L90" s="83" t="s">
        <v>64</v>
      </c>
      <c r="M90" s="95" t="s">
        <v>72</v>
      </c>
    </row>
    <row r="91" spans="1:13" ht="15.75" x14ac:dyDescent="0.25">
      <c r="A91" s="94"/>
      <c r="B91" s="86"/>
      <c r="C91" s="21" t="s">
        <v>8</v>
      </c>
      <c r="D91" s="22">
        <v>8775059.6277299989</v>
      </c>
      <c r="E91" s="22">
        <v>6093050.9000000004</v>
      </c>
      <c r="F91" s="16">
        <f t="shared" ref="F91:F94" si="35">IFERROR(E91/D91,0)</f>
        <v>0.69436005662518763</v>
      </c>
      <c r="G91" s="88"/>
      <c r="H91" s="88"/>
      <c r="I91" s="88"/>
      <c r="J91" s="88"/>
      <c r="K91" s="84"/>
      <c r="L91" s="84"/>
      <c r="M91" s="95"/>
    </row>
    <row r="92" spans="1:13" ht="15.75" x14ac:dyDescent="0.25">
      <c r="A92" s="94"/>
      <c r="B92" s="86"/>
      <c r="C92" s="21" t="s">
        <v>9</v>
      </c>
      <c r="D92" s="22">
        <v>462767</v>
      </c>
      <c r="E92" s="22">
        <v>0</v>
      </c>
      <c r="F92" s="16">
        <f t="shared" si="35"/>
        <v>0</v>
      </c>
      <c r="G92" s="88"/>
      <c r="H92" s="88"/>
      <c r="I92" s="88"/>
      <c r="J92" s="88"/>
      <c r="K92" s="84"/>
      <c r="L92" s="84"/>
      <c r="M92" s="95"/>
    </row>
    <row r="93" spans="1:13" ht="15.75" x14ac:dyDescent="0.25">
      <c r="A93" s="94"/>
      <c r="B93" s="86"/>
      <c r="C93" s="21" t="s">
        <v>10</v>
      </c>
      <c r="D93" s="22">
        <v>10961.265670000001</v>
      </c>
      <c r="E93" s="22">
        <v>3385.7000000000003</v>
      </c>
      <c r="F93" s="16">
        <f t="shared" si="35"/>
        <v>0.30887856402079161</v>
      </c>
      <c r="G93" s="88"/>
      <c r="H93" s="88"/>
      <c r="I93" s="88"/>
      <c r="J93" s="88"/>
      <c r="K93" s="84"/>
      <c r="L93" s="84"/>
      <c r="M93" s="95"/>
    </row>
    <row r="94" spans="1:13" ht="88.5" customHeight="1" x14ac:dyDescent="0.25">
      <c r="A94" s="94"/>
      <c r="B94" s="86"/>
      <c r="C94" s="23" t="s">
        <v>11</v>
      </c>
      <c r="D94" s="24">
        <v>185286.99526999998</v>
      </c>
      <c r="E94" s="24">
        <v>0</v>
      </c>
      <c r="F94" s="25">
        <f t="shared" si="35"/>
        <v>0</v>
      </c>
      <c r="G94" s="89"/>
      <c r="H94" s="89"/>
      <c r="I94" s="89"/>
      <c r="J94" s="89"/>
      <c r="K94" s="85"/>
      <c r="L94" s="85"/>
      <c r="M94" s="95"/>
    </row>
    <row r="95" spans="1:13" ht="15.75" x14ac:dyDescent="0.25">
      <c r="A95" s="94">
        <v>18</v>
      </c>
      <c r="B95" s="86" t="s">
        <v>54</v>
      </c>
      <c r="C95" s="19" t="s">
        <v>6</v>
      </c>
      <c r="D95" s="20">
        <f>SUM(D96:D99)</f>
        <v>274926.71999999997</v>
      </c>
      <c r="E95" s="20">
        <f>SUM(E96:E99)</f>
        <v>108570.09</v>
      </c>
      <c r="F95" s="18">
        <f>IFERROR(E95/D95,0)</f>
        <v>0.39490555883400497</v>
      </c>
      <c r="G95" s="87">
        <f t="shared" ref="G95" si="36">SUM(H95:J99)</f>
        <v>9</v>
      </c>
      <c r="H95" s="87">
        <v>7</v>
      </c>
      <c r="I95" s="87">
        <v>1</v>
      </c>
      <c r="J95" s="87">
        <v>1</v>
      </c>
      <c r="K95" s="83" t="s">
        <v>73</v>
      </c>
      <c r="L95" s="83" t="s">
        <v>74</v>
      </c>
      <c r="M95" s="95" t="s">
        <v>75</v>
      </c>
    </row>
    <row r="96" spans="1:13" ht="15.75" x14ac:dyDescent="0.25">
      <c r="A96" s="94"/>
      <c r="B96" s="86"/>
      <c r="C96" s="21" t="s">
        <v>8</v>
      </c>
      <c r="D96" s="22">
        <v>274926.71999999997</v>
      </c>
      <c r="E96" s="22">
        <v>108570.09</v>
      </c>
      <c r="F96" s="16">
        <f t="shared" ref="F96:F99" si="37">IFERROR(E96/D96,0)</f>
        <v>0.39490555883400497</v>
      </c>
      <c r="G96" s="88"/>
      <c r="H96" s="88"/>
      <c r="I96" s="88"/>
      <c r="J96" s="88"/>
      <c r="K96" s="84"/>
      <c r="L96" s="84"/>
      <c r="M96" s="95"/>
    </row>
    <row r="97" spans="1:13" ht="15.75" x14ac:dyDescent="0.25">
      <c r="A97" s="94"/>
      <c r="B97" s="86"/>
      <c r="C97" s="21" t="s">
        <v>9</v>
      </c>
      <c r="D97" s="22">
        <v>0</v>
      </c>
      <c r="E97" s="22">
        <v>0</v>
      </c>
      <c r="F97" s="16">
        <f t="shared" si="37"/>
        <v>0</v>
      </c>
      <c r="G97" s="88"/>
      <c r="H97" s="88"/>
      <c r="I97" s="88"/>
      <c r="J97" s="88"/>
      <c r="K97" s="84"/>
      <c r="L97" s="84"/>
      <c r="M97" s="95"/>
    </row>
    <row r="98" spans="1:13" ht="15.75" x14ac:dyDescent="0.25">
      <c r="A98" s="94"/>
      <c r="B98" s="86"/>
      <c r="C98" s="21" t="s">
        <v>10</v>
      </c>
      <c r="D98" s="22">
        <v>0</v>
      </c>
      <c r="E98" s="22">
        <v>0</v>
      </c>
      <c r="F98" s="16">
        <f t="shared" si="37"/>
        <v>0</v>
      </c>
      <c r="G98" s="88"/>
      <c r="H98" s="88"/>
      <c r="I98" s="88"/>
      <c r="J98" s="88"/>
      <c r="K98" s="84"/>
      <c r="L98" s="84"/>
      <c r="M98" s="95"/>
    </row>
    <row r="99" spans="1:13" ht="109.5" customHeight="1" x14ac:dyDescent="0.25">
      <c r="A99" s="94"/>
      <c r="B99" s="86"/>
      <c r="C99" s="23" t="s">
        <v>11</v>
      </c>
      <c r="D99" s="24">
        <v>0</v>
      </c>
      <c r="E99" s="24">
        <v>0</v>
      </c>
      <c r="F99" s="25">
        <f t="shared" si="37"/>
        <v>0</v>
      </c>
      <c r="G99" s="89"/>
      <c r="H99" s="89"/>
      <c r="I99" s="89"/>
      <c r="J99" s="89"/>
      <c r="K99" s="85"/>
      <c r="L99" s="85"/>
      <c r="M99" s="95"/>
    </row>
    <row r="101" spans="1:13" ht="15.75" x14ac:dyDescent="0.25">
      <c r="A101" s="28" t="s">
        <v>92</v>
      </c>
    </row>
    <row r="102" spans="1:13" ht="15.75" x14ac:dyDescent="0.25">
      <c r="A102" s="105" t="s">
        <v>93</v>
      </c>
      <c r="B102" s="105"/>
      <c r="C102" s="105"/>
      <c r="D102" s="105"/>
      <c r="E102" s="105"/>
      <c r="F102" s="105"/>
      <c r="G102" s="105"/>
      <c r="H102" s="105"/>
      <c r="I102" s="105"/>
      <c r="J102" s="105"/>
      <c r="K102" s="105"/>
      <c r="L102" s="105"/>
      <c r="M102" s="105"/>
    </row>
  </sheetData>
  <mergeCells count="181">
    <mergeCell ref="H95:H99"/>
    <mergeCell ref="I95:I99"/>
    <mergeCell ref="A85:A89"/>
    <mergeCell ref="A60:A64"/>
    <mergeCell ref="A45:A49"/>
    <mergeCell ref="B45:B49"/>
    <mergeCell ref="A102:M102"/>
    <mergeCell ref="M80:M84"/>
    <mergeCell ref="M85:M89"/>
    <mergeCell ref="M90:M94"/>
    <mergeCell ref="M95:M99"/>
    <mergeCell ref="A55:A59"/>
    <mergeCell ref="B55:B59"/>
    <mergeCell ref="G55:G59"/>
    <mergeCell ref="H55:H59"/>
    <mergeCell ref="I55:I59"/>
    <mergeCell ref="J55:J59"/>
    <mergeCell ref="K55:K59"/>
    <mergeCell ref="L55:L59"/>
    <mergeCell ref="M55:M59"/>
    <mergeCell ref="M75:M79"/>
    <mergeCell ref="J95:J99"/>
    <mergeCell ref="K95:K99"/>
    <mergeCell ref="L95:L99"/>
    <mergeCell ref="A95:A99"/>
    <mergeCell ref="B95:B99"/>
    <mergeCell ref="G95:G99"/>
    <mergeCell ref="B50:B54"/>
    <mergeCell ref="G50:G54"/>
    <mergeCell ref="H50:H54"/>
    <mergeCell ref="I50:I54"/>
    <mergeCell ref="J50:J54"/>
    <mergeCell ref="K50:K54"/>
    <mergeCell ref="L50:L54"/>
    <mergeCell ref="M50:M54"/>
    <mergeCell ref="G85:G89"/>
    <mergeCell ref="H85:H89"/>
    <mergeCell ref="I85:I89"/>
    <mergeCell ref="J85:J89"/>
    <mergeCell ref="K85:K89"/>
    <mergeCell ref="L85:L89"/>
    <mergeCell ref="A5:A9"/>
    <mergeCell ref="B5:B9"/>
    <mergeCell ref="G5:G9"/>
    <mergeCell ref="M30:M34"/>
    <mergeCell ref="A25:A29"/>
    <mergeCell ref="B25:B29"/>
    <mergeCell ref="G25:G29"/>
    <mergeCell ref="H25:H29"/>
    <mergeCell ref="I25:I29"/>
    <mergeCell ref="L25:L29"/>
    <mergeCell ref="K20:K24"/>
    <mergeCell ref="L20:L24"/>
    <mergeCell ref="M20:M24"/>
    <mergeCell ref="G20:G24"/>
    <mergeCell ref="H20:H24"/>
    <mergeCell ref="I20:I24"/>
    <mergeCell ref="J20:J24"/>
    <mergeCell ref="M25:M29"/>
    <mergeCell ref="A30:A34"/>
    <mergeCell ref="B30:B34"/>
    <mergeCell ref="G30:G34"/>
    <mergeCell ref="H30:H34"/>
    <mergeCell ref="I30:I34"/>
    <mergeCell ref="J30:J34"/>
    <mergeCell ref="A10:A14"/>
    <mergeCell ref="B10:B14"/>
    <mergeCell ref="G10:G14"/>
    <mergeCell ref="H10:H14"/>
    <mergeCell ref="I10:I14"/>
    <mergeCell ref="J10:J14"/>
    <mergeCell ref="K10:K14"/>
    <mergeCell ref="L10:L14"/>
    <mergeCell ref="M10:M14"/>
    <mergeCell ref="A15:A19"/>
    <mergeCell ref="B15:B19"/>
    <mergeCell ref="G15:G19"/>
    <mergeCell ref="H15:H19"/>
    <mergeCell ref="I15:I19"/>
    <mergeCell ref="J15:J19"/>
    <mergeCell ref="K15:K19"/>
    <mergeCell ref="L15:L19"/>
    <mergeCell ref="M15:M19"/>
    <mergeCell ref="L90:L94"/>
    <mergeCell ref="J75:J79"/>
    <mergeCell ref="K75:K79"/>
    <mergeCell ref="L75:L79"/>
    <mergeCell ref="A80:A84"/>
    <mergeCell ref="B80:B84"/>
    <mergeCell ref="G80:G84"/>
    <mergeCell ref="H80:H84"/>
    <mergeCell ref="I80:I84"/>
    <mergeCell ref="J80:J84"/>
    <mergeCell ref="A75:A79"/>
    <mergeCell ref="B75:B79"/>
    <mergeCell ref="G75:G79"/>
    <mergeCell ref="H75:H79"/>
    <mergeCell ref="I75:I79"/>
    <mergeCell ref="K80:K84"/>
    <mergeCell ref="L80:L84"/>
    <mergeCell ref="B85:B89"/>
    <mergeCell ref="B35:B39"/>
    <mergeCell ref="G35:G39"/>
    <mergeCell ref="H35:H39"/>
    <mergeCell ref="I35:I39"/>
    <mergeCell ref="J35:J39"/>
    <mergeCell ref="K35:K39"/>
    <mergeCell ref="A90:A94"/>
    <mergeCell ref="B90:B94"/>
    <mergeCell ref="G90:G94"/>
    <mergeCell ref="H90:H94"/>
    <mergeCell ref="I90:I94"/>
    <mergeCell ref="J90:J94"/>
    <mergeCell ref="K90:K94"/>
    <mergeCell ref="A40:A44"/>
    <mergeCell ref="B40:B44"/>
    <mergeCell ref="G40:G44"/>
    <mergeCell ref="H40:H44"/>
    <mergeCell ref="I40:I44"/>
    <mergeCell ref="J40:J44"/>
    <mergeCell ref="K40:K44"/>
    <mergeCell ref="I45:I49"/>
    <mergeCell ref="J45:J49"/>
    <mergeCell ref="K45:K49"/>
    <mergeCell ref="A50:A54"/>
    <mergeCell ref="M70:M74"/>
    <mergeCell ref="L65:L69"/>
    <mergeCell ref="K65:K69"/>
    <mergeCell ref="G65:G69"/>
    <mergeCell ref="H65:H69"/>
    <mergeCell ref="I65:I69"/>
    <mergeCell ref="J65:J69"/>
    <mergeCell ref="H5:H9"/>
    <mergeCell ref="I5:I9"/>
    <mergeCell ref="J5:J9"/>
    <mergeCell ref="J25:J29"/>
    <mergeCell ref="K25:K29"/>
    <mergeCell ref="M5:M9"/>
    <mergeCell ref="K5:K9"/>
    <mergeCell ref="L5:L9"/>
    <mergeCell ref="K30:K34"/>
    <mergeCell ref="L30:L34"/>
    <mergeCell ref="M35:M39"/>
    <mergeCell ref="L40:L44"/>
    <mergeCell ref="M40:M44"/>
    <mergeCell ref="L35:L39"/>
    <mergeCell ref="L45:L49"/>
    <mergeCell ref="M45:M49"/>
    <mergeCell ref="J70:J74"/>
    <mergeCell ref="K70:K74"/>
    <mergeCell ref="L70:L74"/>
    <mergeCell ref="B70:B74"/>
    <mergeCell ref="A65:A69"/>
    <mergeCell ref="A70:A74"/>
    <mergeCell ref="G70:G74"/>
    <mergeCell ref="H70:H74"/>
    <mergeCell ref="I70:I74"/>
    <mergeCell ref="M3:M4"/>
    <mergeCell ref="A2:M2"/>
    <mergeCell ref="L60:L64"/>
    <mergeCell ref="B65:B69"/>
    <mergeCell ref="B60:B64"/>
    <mergeCell ref="G60:G64"/>
    <mergeCell ref="H60:H64"/>
    <mergeCell ref="I60:I64"/>
    <mergeCell ref="A3:A4"/>
    <mergeCell ref="B3:B4"/>
    <mergeCell ref="C3:E3"/>
    <mergeCell ref="F3:F4"/>
    <mergeCell ref="G3:J3"/>
    <mergeCell ref="K3:K4"/>
    <mergeCell ref="L3:L4"/>
    <mergeCell ref="G45:G49"/>
    <mergeCell ref="H45:H49"/>
    <mergeCell ref="J60:J64"/>
    <mergeCell ref="K60:K64"/>
    <mergeCell ref="A20:A24"/>
    <mergeCell ref="B20:B24"/>
    <mergeCell ref="M60:M64"/>
    <mergeCell ref="M65:M69"/>
    <mergeCell ref="A35:A39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8"/>
  <sheetViews>
    <sheetView workbookViewId="0">
      <pane ySplit="4" topLeftCell="A5" activePane="bottomLeft" state="frozen"/>
      <selection pane="bottomLeft" activeCell="H5" sqref="H5"/>
    </sheetView>
  </sheetViews>
  <sheetFormatPr defaultRowHeight="15" x14ac:dyDescent="0.25"/>
  <cols>
    <col min="1" max="1" width="6.42578125" customWidth="1"/>
    <col min="2" max="2" width="21" customWidth="1"/>
    <col min="3" max="3" width="16.42578125" customWidth="1"/>
    <col min="4" max="4" width="13" customWidth="1"/>
    <col min="5" max="5" width="13.5703125" customWidth="1"/>
    <col min="6" max="6" width="5" customWidth="1"/>
    <col min="7" max="7" width="12.42578125" customWidth="1"/>
    <col min="8" max="8" width="13.42578125" customWidth="1"/>
    <col min="9" max="9" width="16.42578125" customWidth="1"/>
    <col min="10" max="10" width="13.140625" customWidth="1"/>
    <col min="11" max="11" width="13.42578125" customWidth="1"/>
    <col min="12" max="12" width="10" customWidth="1"/>
    <col min="13" max="13" width="10.140625" customWidth="1"/>
    <col min="14" max="14" width="62.85546875" customWidth="1"/>
  </cols>
  <sheetData>
    <row r="1" spans="1:17" x14ac:dyDescent="0.25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30" t="s">
        <v>94</v>
      </c>
      <c r="O1" s="31"/>
      <c r="P1" s="31"/>
      <c r="Q1" s="31"/>
    </row>
    <row r="2" spans="1:17" ht="15.75" x14ac:dyDescent="0.25">
      <c r="A2" s="134" t="s">
        <v>95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31"/>
      <c r="P2" s="31"/>
      <c r="Q2" s="31"/>
    </row>
    <row r="3" spans="1:17" x14ac:dyDescent="0.25">
      <c r="A3" s="135" t="s">
        <v>96</v>
      </c>
      <c r="B3" s="136" t="s">
        <v>295</v>
      </c>
      <c r="C3" s="106" t="s">
        <v>296</v>
      </c>
      <c r="D3" s="106" t="s">
        <v>97</v>
      </c>
      <c r="E3" s="137" t="s">
        <v>98</v>
      </c>
      <c r="F3" s="106" t="s">
        <v>99</v>
      </c>
      <c r="G3" s="137" t="s">
        <v>100</v>
      </c>
      <c r="H3" s="137" t="s">
        <v>294</v>
      </c>
      <c r="I3" s="137"/>
      <c r="J3" s="137"/>
      <c r="K3" s="137"/>
      <c r="L3" s="137"/>
      <c r="M3" s="138" t="s">
        <v>101</v>
      </c>
      <c r="N3" s="106" t="s">
        <v>102</v>
      </c>
      <c r="O3" s="31"/>
      <c r="P3" s="31"/>
      <c r="Q3" s="31"/>
    </row>
    <row r="4" spans="1:17" ht="45" x14ac:dyDescent="0.25">
      <c r="A4" s="135"/>
      <c r="B4" s="136"/>
      <c r="C4" s="106"/>
      <c r="D4" s="106"/>
      <c r="E4" s="137"/>
      <c r="F4" s="106"/>
      <c r="G4" s="137"/>
      <c r="H4" s="32" t="s">
        <v>103</v>
      </c>
      <c r="I4" s="32" t="s">
        <v>104</v>
      </c>
      <c r="J4" s="32" t="s">
        <v>105</v>
      </c>
      <c r="K4" s="32" t="s">
        <v>106</v>
      </c>
      <c r="L4" s="33" t="s">
        <v>107</v>
      </c>
      <c r="M4" s="138"/>
      <c r="N4" s="106"/>
      <c r="O4" s="31"/>
      <c r="P4" s="31"/>
      <c r="Q4" s="31"/>
    </row>
    <row r="5" spans="1:17" ht="21" x14ac:dyDescent="0.25">
      <c r="A5" s="107" t="s">
        <v>7</v>
      </c>
      <c r="B5" s="108"/>
      <c r="C5" s="108"/>
      <c r="D5" s="108"/>
      <c r="E5" s="109"/>
      <c r="F5" s="77" t="s">
        <v>6</v>
      </c>
      <c r="G5" s="78">
        <f>SUM(G10+G25+G107+G133+G154+G258+G267)</f>
        <v>10913807.878619999</v>
      </c>
      <c r="H5" s="78">
        <f>SUM(H10,H25,H107,H133,H154,H258,H267,)</f>
        <v>15297253.947230002</v>
      </c>
      <c r="I5" s="78">
        <f>SUM(I10,I25,I107,I133,I154,I258,I267,)</f>
        <v>1167451.87197</v>
      </c>
      <c r="J5" s="78">
        <f>SUM(J10,J25,J107,J133,J154,J258,J267,)</f>
        <v>332828.51097</v>
      </c>
      <c r="K5" s="78">
        <f>SUM(K10+K25+K107+K133+K154)</f>
        <v>33944.890700000004</v>
      </c>
      <c r="L5" s="79">
        <f>J5/H5</f>
        <v>2.1757402480088131E-2</v>
      </c>
      <c r="M5" s="116"/>
      <c r="N5" s="117"/>
      <c r="O5" s="31"/>
      <c r="P5" s="31"/>
      <c r="Q5" s="31"/>
    </row>
    <row r="6" spans="1:17" x14ac:dyDescent="0.25">
      <c r="A6" s="110"/>
      <c r="B6" s="111"/>
      <c r="C6" s="111"/>
      <c r="D6" s="111"/>
      <c r="E6" s="112"/>
      <c r="F6" s="77" t="s">
        <v>108</v>
      </c>
      <c r="G6" s="78">
        <f>SUM(G11,G26,G108,G134,G155,G268,G259)</f>
        <v>6362568.6402700003</v>
      </c>
      <c r="H6" s="78">
        <f>SUM(H11,H26,H108,H134,H155,H268,H259)</f>
        <v>11046112.137220001</v>
      </c>
      <c r="I6" s="78">
        <f>SUM(I11,I26,I108,I134,I155,I268)</f>
        <v>542217.29868000001</v>
      </c>
      <c r="J6" s="78">
        <f>SUM(J11,J26,J108,J134,J155,J268)</f>
        <v>225130.69867999997</v>
      </c>
      <c r="K6" s="78">
        <f>SUM(K11,K26,K108,K134,K155,K268)</f>
        <v>9147.9225099999985</v>
      </c>
      <c r="L6" s="79">
        <f t="shared" ref="L6:L11" si="0">J6/H6</f>
        <v>2.0380989789286996E-2</v>
      </c>
      <c r="M6" s="116"/>
      <c r="N6" s="118"/>
      <c r="O6" s="31"/>
      <c r="P6" s="31"/>
      <c r="Q6" s="31"/>
    </row>
    <row r="7" spans="1:17" x14ac:dyDescent="0.25">
      <c r="A7" s="110"/>
      <c r="B7" s="111"/>
      <c r="C7" s="111"/>
      <c r="D7" s="111"/>
      <c r="E7" s="112"/>
      <c r="F7" s="77" t="s">
        <v>109</v>
      </c>
      <c r="G7" s="78">
        <f>SUM(G12,G27,G109,G135,G156,G269)</f>
        <v>4075314.0331100002</v>
      </c>
      <c r="H7" s="78">
        <f>SUM(H12,H27,H109,H135,H156,H269,)</f>
        <v>2569053.12</v>
      </c>
      <c r="I7" s="78">
        <f>SUM(I12,I27,I109,I135,I156,I269,)</f>
        <v>532288.16229000001</v>
      </c>
      <c r="J7" s="78">
        <f>SUM(J12,J27,J109,J135,J156,J269,)</f>
        <v>30506.462289999999</v>
      </c>
      <c r="K7" s="78">
        <f>SUM(K109,K156,K135,)</f>
        <v>24796.96819</v>
      </c>
      <c r="L7" s="79">
        <f>J7/H7</f>
        <v>1.187459381532757E-2</v>
      </c>
      <c r="M7" s="116"/>
      <c r="N7" s="118"/>
      <c r="O7" s="31"/>
      <c r="P7" s="31"/>
      <c r="Q7" s="31"/>
    </row>
    <row r="8" spans="1:17" x14ac:dyDescent="0.25">
      <c r="A8" s="110"/>
      <c r="B8" s="111"/>
      <c r="C8" s="111"/>
      <c r="D8" s="111"/>
      <c r="E8" s="112"/>
      <c r="F8" s="77" t="s">
        <v>10</v>
      </c>
      <c r="G8" s="78">
        <f>SUM(G28,G110,G136,G157,G270,)</f>
        <v>356922.01</v>
      </c>
      <c r="H8" s="78">
        <f>SUM(H28,H110,H136,H157,H270,)</f>
        <v>196785.90001000001</v>
      </c>
      <c r="I8" s="78">
        <f>SUM(I28,I110,I136,I157,I270,)</f>
        <v>44540.100999999995</v>
      </c>
      <c r="J8" s="78">
        <f>SUM(J28,J110,J136,J157,J270,)</f>
        <v>37973.040000000001</v>
      </c>
      <c r="K8" s="78">
        <f>SUM(K110,K157,K28,)</f>
        <v>0</v>
      </c>
      <c r="L8" s="79">
        <f t="shared" si="0"/>
        <v>0.19296626434145098</v>
      </c>
      <c r="M8" s="116"/>
      <c r="N8" s="118"/>
      <c r="O8" s="31"/>
      <c r="P8" s="31"/>
      <c r="Q8" s="31"/>
    </row>
    <row r="9" spans="1:17" x14ac:dyDescent="0.25">
      <c r="A9" s="113"/>
      <c r="B9" s="114"/>
      <c r="C9" s="114"/>
      <c r="D9" s="114"/>
      <c r="E9" s="115"/>
      <c r="F9" s="77" t="s">
        <v>11</v>
      </c>
      <c r="G9" s="78">
        <f>SUM(G158,G260,G111,G137,G13,G29)</f>
        <v>119003.19524</v>
      </c>
      <c r="H9" s="78">
        <f>SUM(H158,H260,H111,H137,H13,H29)</f>
        <v>1485302.79</v>
      </c>
      <c r="I9" s="78">
        <f>SUM(I158,I260,I111,I137,I29)</f>
        <v>48406.31</v>
      </c>
      <c r="J9" s="78">
        <f>J158+J260</f>
        <v>39218.31</v>
      </c>
      <c r="K9" s="78">
        <f>0</f>
        <v>0</v>
      </c>
      <c r="L9" s="79">
        <f t="shared" si="0"/>
        <v>2.6404252563209687E-2</v>
      </c>
      <c r="M9" s="116"/>
      <c r="N9" s="118"/>
      <c r="O9" s="31"/>
      <c r="P9" s="31"/>
      <c r="Q9" s="31"/>
    </row>
    <row r="10" spans="1:17" ht="21" x14ac:dyDescent="0.25">
      <c r="A10" s="119" t="s">
        <v>110</v>
      </c>
      <c r="B10" s="120"/>
      <c r="C10" s="120"/>
      <c r="D10" s="120"/>
      <c r="E10" s="121"/>
      <c r="F10" s="34" t="s">
        <v>6</v>
      </c>
      <c r="G10" s="35">
        <f>SUM(G11:G12)</f>
        <v>2540478</v>
      </c>
      <c r="H10" s="35">
        <f>H11</f>
        <v>471658.51</v>
      </c>
      <c r="I10" s="35">
        <f>I11+I12</f>
        <v>326.10000000000002</v>
      </c>
      <c r="J10" s="35">
        <f>J11</f>
        <v>13.33</v>
      </c>
      <c r="K10" s="35">
        <f>K11+K12</f>
        <v>0</v>
      </c>
      <c r="L10" s="36">
        <f>J10/H10</f>
        <v>2.826197284132539E-5</v>
      </c>
      <c r="M10" s="128"/>
      <c r="N10" s="131"/>
      <c r="O10" s="31"/>
      <c r="P10" s="31"/>
      <c r="Q10" s="31"/>
    </row>
    <row r="11" spans="1:17" x14ac:dyDescent="0.25">
      <c r="A11" s="122"/>
      <c r="B11" s="123"/>
      <c r="C11" s="123"/>
      <c r="D11" s="123"/>
      <c r="E11" s="124"/>
      <c r="F11" s="34" t="s">
        <v>108</v>
      </c>
      <c r="G11" s="35">
        <f>G16+G21</f>
        <v>802258.1</v>
      </c>
      <c r="H11" s="35">
        <f>H16+H21</f>
        <v>471658.51</v>
      </c>
      <c r="I11" s="35">
        <f>I16</f>
        <v>326.10000000000002</v>
      </c>
      <c r="J11" s="35">
        <f>J16</f>
        <v>13.33</v>
      </c>
      <c r="K11" s="35">
        <v>0</v>
      </c>
      <c r="L11" s="36">
        <f t="shared" si="0"/>
        <v>2.826197284132539E-5</v>
      </c>
      <c r="M11" s="129"/>
      <c r="N11" s="132"/>
      <c r="O11" s="31"/>
      <c r="P11" s="31"/>
      <c r="Q11" s="31"/>
    </row>
    <row r="12" spans="1:17" x14ac:dyDescent="0.25">
      <c r="A12" s="122"/>
      <c r="B12" s="123"/>
      <c r="C12" s="123"/>
      <c r="D12" s="123"/>
      <c r="E12" s="124"/>
      <c r="F12" s="34" t="s">
        <v>9</v>
      </c>
      <c r="G12" s="35">
        <f>G17</f>
        <v>1738219.9</v>
      </c>
      <c r="H12" s="35">
        <v>0</v>
      </c>
      <c r="I12" s="35">
        <v>0</v>
      </c>
      <c r="J12" s="35">
        <v>0</v>
      </c>
      <c r="K12" s="35">
        <v>0</v>
      </c>
      <c r="L12" s="36">
        <v>0</v>
      </c>
      <c r="M12" s="129"/>
      <c r="N12" s="132"/>
      <c r="O12" s="31"/>
      <c r="P12" s="31"/>
      <c r="Q12" s="31"/>
    </row>
    <row r="13" spans="1:17" x14ac:dyDescent="0.25">
      <c r="A13" s="125"/>
      <c r="B13" s="126"/>
      <c r="C13" s="126"/>
      <c r="D13" s="126"/>
      <c r="E13" s="127"/>
      <c r="F13" s="34" t="s">
        <v>11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6">
        <v>0</v>
      </c>
      <c r="M13" s="130"/>
      <c r="N13" s="133"/>
      <c r="O13" s="31"/>
      <c r="P13" s="31"/>
      <c r="Q13" s="31"/>
    </row>
    <row r="14" spans="1:17" x14ac:dyDescent="0.25">
      <c r="A14" s="139" t="s">
        <v>111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31"/>
      <c r="P14" s="31"/>
      <c r="Q14" s="31"/>
    </row>
    <row r="15" spans="1:17" x14ac:dyDescent="0.25">
      <c r="A15" s="141">
        <v>1</v>
      </c>
      <c r="B15" s="142" t="s">
        <v>112</v>
      </c>
      <c r="C15" s="143" t="s">
        <v>113</v>
      </c>
      <c r="D15" s="143" t="s">
        <v>114</v>
      </c>
      <c r="E15" s="144" t="s">
        <v>115</v>
      </c>
      <c r="F15" s="37" t="s">
        <v>6</v>
      </c>
      <c r="G15" s="38">
        <f>G16+G17+G18+G19</f>
        <v>2527740.9</v>
      </c>
      <c r="H15" s="38">
        <f t="shared" ref="H15:K15" si="1">H16+H17+H18+H19</f>
        <v>420710.05</v>
      </c>
      <c r="I15" s="38">
        <f t="shared" si="1"/>
        <v>326.10000000000002</v>
      </c>
      <c r="J15" s="38">
        <f t="shared" si="1"/>
        <v>13.33</v>
      </c>
      <c r="K15" s="38">
        <f t="shared" si="1"/>
        <v>0</v>
      </c>
      <c r="L15" s="145">
        <f>(J15/H15)</f>
        <v>3.1684529523361753E-5</v>
      </c>
      <c r="M15" s="145">
        <v>0.438</v>
      </c>
      <c r="N15" s="146" t="s">
        <v>116</v>
      </c>
      <c r="O15" s="31"/>
      <c r="P15" s="31"/>
      <c r="Q15" s="31"/>
    </row>
    <row r="16" spans="1:17" x14ac:dyDescent="0.25">
      <c r="A16" s="141"/>
      <c r="B16" s="142"/>
      <c r="C16" s="143"/>
      <c r="D16" s="143"/>
      <c r="E16" s="144"/>
      <c r="F16" s="37" t="s">
        <v>8</v>
      </c>
      <c r="G16" s="38">
        <f>1553.6+1543.8+152641+178363.7+455418.9</f>
        <v>789521</v>
      </c>
      <c r="H16" s="38">
        <f>385683.5+35026.55</f>
        <v>420710.05</v>
      </c>
      <c r="I16" s="38">
        <v>326.10000000000002</v>
      </c>
      <c r="J16" s="38">
        <v>13.33</v>
      </c>
      <c r="K16" s="38">
        <v>0</v>
      </c>
      <c r="L16" s="145"/>
      <c r="M16" s="145"/>
      <c r="N16" s="146"/>
      <c r="O16" s="31"/>
      <c r="P16" s="31"/>
      <c r="Q16" s="31"/>
    </row>
    <row r="17" spans="1:17" x14ac:dyDescent="0.25">
      <c r="A17" s="141"/>
      <c r="B17" s="142"/>
      <c r="C17" s="143"/>
      <c r="D17" s="143"/>
      <c r="E17" s="144"/>
      <c r="F17" s="37" t="s">
        <v>9</v>
      </c>
      <c r="G17" s="38">
        <f>360000+415415.6+962804.3</f>
        <v>1738219.9</v>
      </c>
      <c r="H17" s="38">
        <v>0</v>
      </c>
      <c r="I17" s="38">
        <v>0</v>
      </c>
      <c r="J17" s="38">
        <v>0</v>
      </c>
      <c r="K17" s="38">
        <v>0</v>
      </c>
      <c r="L17" s="145"/>
      <c r="M17" s="145"/>
      <c r="N17" s="146"/>
      <c r="O17" s="31"/>
      <c r="P17" s="31"/>
      <c r="Q17" s="31"/>
    </row>
    <row r="18" spans="1:17" x14ac:dyDescent="0.25">
      <c r="A18" s="141"/>
      <c r="B18" s="142"/>
      <c r="C18" s="143"/>
      <c r="D18" s="143"/>
      <c r="E18" s="144"/>
      <c r="F18" s="37" t="s">
        <v>10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145"/>
      <c r="M18" s="145"/>
      <c r="N18" s="146"/>
      <c r="O18" s="31"/>
      <c r="P18" s="31"/>
      <c r="Q18" s="31"/>
    </row>
    <row r="19" spans="1:17" x14ac:dyDescent="0.25">
      <c r="A19" s="141"/>
      <c r="B19" s="142"/>
      <c r="C19" s="143"/>
      <c r="D19" s="143"/>
      <c r="E19" s="144"/>
      <c r="F19" s="37" t="s">
        <v>11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145"/>
      <c r="M19" s="145"/>
      <c r="N19" s="146"/>
      <c r="O19" s="31"/>
      <c r="P19" s="31"/>
      <c r="Q19" s="31"/>
    </row>
    <row r="20" spans="1:17" x14ac:dyDescent="0.25">
      <c r="A20" s="141">
        <v>2</v>
      </c>
      <c r="B20" s="142" t="s">
        <v>117</v>
      </c>
      <c r="C20" s="143" t="s">
        <v>113</v>
      </c>
      <c r="D20" s="159" t="s">
        <v>118</v>
      </c>
      <c r="E20" s="160" t="s">
        <v>119</v>
      </c>
      <c r="F20" s="37" t="s">
        <v>6</v>
      </c>
      <c r="G20" s="38">
        <f>G21+G22+G23+G24</f>
        <v>12737.1</v>
      </c>
      <c r="H20" s="38">
        <f t="shared" ref="H20:K20" si="2">H21+H22+H23+H24</f>
        <v>50948.46</v>
      </c>
      <c r="I20" s="38">
        <f t="shared" si="2"/>
        <v>0</v>
      </c>
      <c r="J20" s="38">
        <f t="shared" si="2"/>
        <v>0</v>
      </c>
      <c r="K20" s="38">
        <f t="shared" si="2"/>
        <v>0</v>
      </c>
      <c r="L20" s="145">
        <f>(J20/H20)</f>
        <v>0</v>
      </c>
      <c r="M20" s="145">
        <v>0</v>
      </c>
      <c r="N20" s="146" t="s">
        <v>120</v>
      </c>
      <c r="O20" s="31"/>
      <c r="P20" s="31"/>
      <c r="Q20" s="31"/>
    </row>
    <row r="21" spans="1:17" x14ac:dyDescent="0.25">
      <c r="A21" s="141"/>
      <c r="B21" s="142"/>
      <c r="C21" s="143"/>
      <c r="D21" s="159"/>
      <c r="E21" s="161"/>
      <c r="F21" s="37" t="s">
        <v>8</v>
      </c>
      <c r="G21" s="38">
        <v>12737.1</v>
      </c>
      <c r="H21" s="38">
        <v>50948.46</v>
      </c>
      <c r="I21" s="38">
        <v>0</v>
      </c>
      <c r="J21" s="38">
        <v>0</v>
      </c>
      <c r="K21" s="38">
        <v>0</v>
      </c>
      <c r="L21" s="145"/>
      <c r="M21" s="145"/>
      <c r="N21" s="146"/>
      <c r="O21" s="31"/>
      <c r="P21" s="31"/>
      <c r="Q21" s="31"/>
    </row>
    <row r="22" spans="1:17" x14ac:dyDescent="0.25">
      <c r="A22" s="141"/>
      <c r="B22" s="142"/>
      <c r="C22" s="143"/>
      <c r="D22" s="159"/>
      <c r="E22" s="161"/>
      <c r="F22" s="37" t="s">
        <v>9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145"/>
      <c r="M22" s="145"/>
      <c r="N22" s="146"/>
      <c r="O22" s="31"/>
      <c r="P22" s="31"/>
      <c r="Q22" s="31"/>
    </row>
    <row r="23" spans="1:17" x14ac:dyDescent="0.25">
      <c r="A23" s="141"/>
      <c r="B23" s="142"/>
      <c r="C23" s="143"/>
      <c r="D23" s="159"/>
      <c r="E23" s="161"/>
      <c r="F23" s="37" t="s">
        <v>10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145"/>
      <c r="M23" s="145"/>
      <c r="N23" s="146"/>
      <c r="O23" s="31"/>
      <c r="P23" s="31"/>
      <c r="Q23" s="31"/>
    </row>
    <row r="24" spans="1:17" x14ac:dyDescent="0.25">
      <c r="A24" s="141"/>
      <c r="B24" s="142"/>
      <c r="C24" s="143"/>
      <c r="D24" s="159"/>
      <c r="E24" s="162"/>
      <c r="F24" s="37" t="s">
        <v>121</v>
      </c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145"/>
      <c r="M24" s="145"/>
      <c r="N24" s="146"/>
      <c r="O24" s="31"/>
      <c r="P24" s="31"/>
      <c r="Q24" s="31"/>
    </row>
    <row r="25" spans="1:17" ht="21" x14ac:dyDescent="0.25">
      <c r="A25" s="119" t="s">
        <v>122</v>
      </c>
      <c r="B25" s="147"/>
      <c r="C25" s="147"/>
      <c r="D25" s="147"/>
      <c r="E25" s="148"/>
      <c r="F25" s="34" t="s">
        <v>6</v>
      </c>
      <c r="G25" s="35">
        <f>SUM(G26:G29)</f>
        <v>140568.44</v>
      </c>
      <c r="H25" s="35">
        <f>SUM(H26:H29)</f>
        <v>1118981.17</v>
      </c>
      <c r="I25" s="35">
        <f>SUM(I26:I29)</f>
        <v>113474.90974999999</v>
      </c>
      <c r="J25" s="35">
        <f>SUM(J26:J29)</f>
        <v>39513.4</v>
      </c>
      <c r="K25" s="35">
        <v>0</v>
      </c>
      <c r="L25" s="36">
        <f>(J25+K25)/H25</f>
        <v>3.5311943631723491E-2</v>
      </c>
      <c r="M25" s="128"/>
      <c r="N25" s="156"/>
      <c r="O25" s="31"/>
      <c r="P25" s="31"/>
      <c r="Q25" s="31"/>
    </row>
    <row r="26" spans="1:17" x14ac:dyDescent="0.25">
      <c r="A26" s="149"/>
      <c r="B26" s="150"/>
      <c r="C26" s="150"/>
      <c r="D26" s="150"/>
      <c r="E26" s="151"/>
      <c r="F26" s="34" t="s">
        <v>108</v>
      </c>
      <c r="G26" s="35">
        <f>G58+G63+G68+G73+G78+G83+G88+G93+G98+G103</f>
        <v>119960.71999999999</v>
      </c>
      <c r="H26" s="35">
        <f>H32+H37+H42+H47+H52+H58+H63+H68+H73+H78+H83+H88+H93+H98+H103</f>
        <v>469557.81</v>
      </c>
      <c r="I26" s="35">
        <f>SUM(I58+I63+I68+I73+I78+I83)</f>
        <v>103243.94875</v>
      </c>
      <c r="J26" s="35">
        <f>J58+J68</f>
        <v>39337.599999999999</v>
      </c>
      <c r="K26" s="35">
        <v>0</v>
      </c>
      <c r="L26" s="36">
        <f t="shared" ref="L26:L28" si="3">J26/H26</f>
        <v>8.3775840082395817E-2</v>
      </c>
      <c r="M26" s="129"/>
      <c r="N26" s="157"/>
      <c r="O26" s="31"/>
      <c r="P26" s="31"/>
      <c r="Q26" s="31"/>
    </row>
    <row r="27" spans="1:17" x14ac:dyDescent="0.25">
      <c r="A27" s="149"/>
      <c r="B27" s="150"/>
      <c r="C27" s="150"/>
      <c r="D27" s="150"/>
      <c r="E27" s="151"/>
      <c r="F27" s="34" t="s">
        <v>109</v>
      </c>
      <c r="G27" s="35">
        <v>0</v>
      </c>
      <c r="H27" s="35">
        <f>H33+H38+H43+H48+H53</f>
        <v>462767.02</v>
      </c>
      <c r="I27" s="35">
        <v>0</v>
      </c>
      <c r="J27" s="35">
        <f>0</f>
        <v>0</v>
      </c>
      <c r="K27" s="35">
        <v>0</v>
      </c>
      <c r="L27" s="36">
        <f t="shared" si="3"/>
        <v>0</v>
      </c>
      <c r="M27" s="129"/>
      <c r="N27" s="157"/>
      <c r="O27" s="31"/>
      <c r="P27" s="31"/>
      <c r="Q27" s="31"/>
    </row>
    <row r="28" spans="1:17" x14ac:dyDescent="0.25">
      <c r="A28" s="149"/>
      <c r="B28" s="150"/>
      <c r="C28" s="150"/>
      <c r="D28" s="150"/>
      <c r="E28" s="151"/>
      <c r="F28" s="34" t="s">
        <v>10</v>
      </c>
      <c r="G28" s="35">
        <f>G60+G65+G70+G75+G80+G85</f>
        <v>792.6099999999999</v>
      </c>
      <c r="H28" s="35">
        <f>H60+H65+H70+H75+H80+H85</f>
        <v>1369.3500000000001</v>
      </c>
      <c r="I28" s="35">
        <f>SUM(I60+I65+I70+I75+I80+I85)</f>
        <v>1042.961</v>
      </c>
      <c r="J28" s="35">
        <f>J70</f>
        <v>175.8</v>
      </c>
      <c r="K28" s="35">
        <v>0</v>
      </c>
      <c r="L28" s="36">
        <f t="shared" si="3"/>
        <v>0.12838207908861868</v>
      </c>
      <c r="M28" s="129"/>
      <c r="N28" s="157"/>
      <c r="O28" s="31"/>
      <c r="P28" s="31"/>
      <c r="Q28" s="31"/>
    </row>
    <row r="29" spans="1:17" x14ac:dyDescent="0.25">
      <c r="A29" s="152"/>
      <c r="B29" s="153"/>
      <c r="C29" s="153"/>
      <c r="D29" s="153"/>
      <c r="E29" s="154"/>
      <c r="F29" s="34" t="s">
        <v>11</v>
      </c>
      <c r="G29" s="35">
        <f>G61+G66+G71+G76+G81+G86</f>
        <v>19815.11</v>
      </c>
      <c r="H29" s="35">
        <f>H35+H40+H45+H50+H55+H61+H66+H71+H76+H81+H86</f>
        <v>185286.99</v>
      </c>
      <c r="I29" s="35">
        <f>I61+I66+I71+I76+I81+I86</f>
        <v>9188</v>
      </c>
      <c r="J29" s="35">
        <v>0</v>
      </c>
      <c r="K29" s="35">
        <v>0</v>
      </c>
      <c r="L29" s="36"/>
      <c r="M29" s="155"/>
      <c r="N29" s="158"/>
      <c r="O29" s="31"/>
      <c r="P29" s="31"/>
      <c r="Q29" s="31"/>
    </row>
    <row r="30" spans="1:17" x14ac:dyDescent="0.25">
      <c r="A30" s="139" t="s">
        <v>123</v>
      </c>
      <c r="B30" s="140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  <c r="O30" s="31"/>
      <c r="P30" s="31"/>
      <c r="Q30" s="31"/>
    </row>
    <row r="31" spans="1:17" ht="21" x14ac:dyDescent="0.25">
      <c r="A31" s="166">
        <v>3</v>
      </c>
      <c r="B31" s="178" t="s">
        <v>124</v>
      </c>
      <c r="C31" s="171" t="s">
        <v>125</v>
      </c>
      <c r="D31" s="171" t="s">
        <v>126</v>
      </c>
      <c r="E31" s="173">
        <f>G31+H31</f>
        <v>314386.3</v>
      </c>
      <c r="F31" s="39" t="s">
        <v>6</v>
      </c>
      <c r="G31" s="40">
        <f>SUM(G32:G35)</f>
        <v>0</v>
      </c>
      <c r="H31" s="40">
        <f t="shared" ref="H31:K31" si="4">SUM(H32:H35)</f>
        <v>314386.3</v>
      </c>
      <c r="I31" s="40">
        <f t="shared" si="4"/>
        <v>0</v>
      </c>
      <c r="J31" s="40">
        <f t="shared" si="4"/>
        <v>0</v>
      </c>
      <c r="K31" s="40">
        <f t="shared" si="4"/>
        <v>0</v>
      </c>
      <c r="L31" s="41">
        <f>J31/H31</f>
        <v>0</v>
      </c>
      <c r="M31" s="175">
        <v>0</v>
      </c>
      <c r="N31" s="163" t="s">
        <v>127</v>
      </c>
      <c r="O31" s="42"/>
      <c r="P31" s="42"/>
      <c r="Q31" s="42"/>
    </row>
    <row r="32" spans="1:17" x14ac:dyDescent="0.25">
      <c r="A32" s="167"/>
      <c r="B32" s="170"/>
      <c r="C32" s="172"/>
      <c r="D32" s="172"/>
      <c r="E32" s="174"/>
      <c r="F32" s="43" t="s">
        <v>8</v>
      </c>
      <c r="G32" s="40">
        <v>0</v>
      </c>
      <c r="H32" s="40">
        <v>101462.94</v>
      </c>
      <c r="I32" s="40">
        <v>0</v>
      </c>
      <c r="J32" s="40">
        <v>0</v>
      </c>
      <c r="K32" s="40">
        <v>0</v>
      </c>
      <c r="L32" s="41">
        <f t="shared" ref="L32:L35" si="5">J32/H32</f>
        <v>0</v>
      </c>
      <c r="M32" s="176"/>
      <c r="N32" s="164"/>
      <c r="O32" s="42"/>
      <c r="P32" s="42"/>
      <c r="Q32" s="42"/>
    </row>
    <row r="33" spans="1:17" x14ac:dyDescent="0.25">
      <c r="A33" s="167"/>
      <c r="B33" s="170"/>
      <c r="C33" s="172"/>
      <c r="D33" s="172"/>
      <c r="E33" s="174"/>
      <c r="F33" s="43" t="s">
        <v>9</v>
      </c>
      <c r="G33" s="40">
        <v>0</v>
      </c>
      <c r="H33" s="40">
        <v>160525.65</v>
      </c>
      <c r="I33" s="40">
        <v>0</v>
      </c>
      <c r="J33" s="40">
        <v>0</v>
      </c>
      <c r="K33" s="40">
        <v>0</v>
      </c>
      <c r="L33" s="41">
        <f t="shared" si="5"/>
        <v>0</v>
      </c>
      <c r="M33" s="176"/>
      <c r="N33" s="164"/>
      <c r="O33" s="42"/>
      <c r="P33" s="42"/>
      <c r="Q33" s="42"/>
    </row>
    <row r="34" spans="1:17" x14ac:dyDescent="0.25">
      <c r="A34" s="167"/>
      <c r="B34" s="170"/>
      <c r="C34" s="172"/>
      <c r="D34" s="172"/>
      <c r="E34" s="174"/>
      <c r="F34" s="43" t="s">
        <v>10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1">
        <v>0</v>
      </c>
      <c r="M34" s="176"/>
      <c r="N34" s="164"/>
      <c r="O34" s="42"/>
      <c r="P34" s="42"/>
      <c r="Q34" s="42"/>
    </row>
    <row r="35" spans="1:17" x14ac:dyDescent="0.25">
      <c r="A35" s="168"/>
      <c r="B35" s="170"/>
      <c r="C35" s="172"/>
      <c r="D35" s="172"/>
      <c r="E35" s="174"/>
      <c r="F35" s="43" t="s">
        <v>11</v>
      </c>
      <c r="G35" s="40">
        <v>0</v>
      </c>
      <c r="H35" s="40">
        <v>52397.71</v>
      </c>
      <c r="I35" s="40">
        <v>0</v>
      </c>
      <c r="J35" s="40">
        <v>0</v>
      </c>
      <c r="K35" s="40">
        <v>0</v>
      </c>
      <c r="L35" s="41">
        <f t="shared" si="5"/>
        <v>0</v>
      </c>
      <c r="M35" s="177"/>
      <c r="N35" s="165"/>
      <c r="O35" s="42"/>
      <c r="P35" s="42"/>
      <c r="Q35" s="42"/>
    </row>
    <row r="36" spans="1:17" ht="21" x14ac:dyDescent="0.25">
      <c r="A36" s="166">
        <v>4</v>
      </c>
      <c r="B36" s="169" t="s">
        <v>128</v>
      </c>
      <c r="C36" s="171" t="s">
        <v>125</v>
      </c>
      <c r="D36" s="171" t="s">
        <v>126</v>
      </c>
      <c r="E36" s="173">
        <f>G36+H36</f>
        <v>196606.2</v>
      </c>
      <c r="F36" s="39" t="s">
        <v>6</v>
      </c>
      <c r="G36" s="40">
        <f>SUM(G37:G40)</f>
        <v>0</v>
      </c>
      <c r="H36" s="40">
        <f t="shared" ref="H36:K36" si="6">SUM(H37:H40)</f>
        <v>196606.2</v>
      </c>
      <c r="I36" s="40">
        <f t="shared" si="6"/>
        <v>0</v>
      </c>
      <c r="J36" s="40">
        <f t="shared" si="6"/>
        <v>0</v>
      </c>
      <c r="K36" s="40">
        <f t="shared" si="6"/>
        <v>0</v>
      </c>
      <c r="L36" s="41">
        <f>J36/H36</f>
        <v>0</v>
      </c>
      <c r="M36" s="175">
        <v>0</v>
      </c>
      <c r="N36" s="163" t="s">
        <v>127</v>
      </c>
      <c r="O36" s="42"/>
      <c r="P36" s="42"/>
      <c r="Q36" s="42"/>
    </row>
    <row r="37" spans="1:17" x14ac:dyDescent="0.25">
      <c r="A37" s="167"/>
      <c r="B37" s="170"/>
      <c r="C37" s="172"/>
      <c r="D37" s="172"/>
      <c r="E37" s="174"/>
      <c r="F37" s="43" t="s">
        <v>8</v>
      </c>
      <c r="G37" s="40">
        <v>0</v>
      </c>
      <c r="H37" s="40">
        <v>63451.37</v>
      </c>
      <c r="I37" s="40">
        <v>0</v>
      </c>
      <c r="J37" s="40">
        <v>0</v>
      </c>
      <c r="K37" s="40">
        <v>0</v>
      </c>
      <c r="L37" s="41">
        <f t="shared" ref="L37:L40" si="7">J37/H37</f>
        <v>0</v>
      </c>
      <c r="M37" s="176"/>
      <c r="N37" s="164"/>
      <c r="O37" s="42"/>
      <c r="P37" s="42"/>
      <c r="Q37" s="42"/>
    </row>
    <row r="38" spans="1:17" x14ac:dyDescent="0.25">
      <c r="A38" s="167"/>
      <c r="B38" s="170"/>
      <c r="C38" s="172"/>
      <c r="D38" s="172"/>
      <c r="E38" s="174"/>
      <c r="F38" s="43" t="s">
        <v>9</v>
      </c>
      <c r="G38" s="40">
        <v>0</v>
      </c>
      <c r="H38" s="40">
        <v>100387.13</v>
      </c>
      <c r="I38" s="40">
        <v>0</v>
      </c>
      <c r="J38" s="40">
        <v>0</v>
      </c>
      <c r="K38" s="40">
        <v>0</v>
      </c>
      <c r="L38" s="41">
        <f t="shared" si="7"/>
        <v>0</v>
      </c>
      <c r="M38" s="176"/>
      <c r="N38" s="164"/>
      <c r="O38" s="42"/>
      <c r="P38" s="42"/>
      <c r="Q38" s="42"/>
    </row>
    <row r="39" spans="1:17" x14ac:dyDescent="0.25">
      <c r="A39" s="167"/>
      <c r="B39" s="170"/>
      <c r="C39" s="172"/>
      <c r="D39" s="172"/>
      <c r="E39" s="174"/>
      <c r="F39" s="43" t="s">
        <v>10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1">
        <v>0</v>
      </c>
      <c r="M39" s="176"/>
      <c r="N39" s="164"/>
      <c r="O39" s="42"/>
      <c r="P39" s="42"/>
      <c r="Q39" s="42"/>
    </row>
    <row r="40" spans="1:17" x14ac:dyDescent="0.25">
      <c r="A40" s="168"/>
      <c r="B40" s="170"/>
      <c r="C40" s="172"/>
      <c r="D40" s="172"/>
      <c r="E40" s="174"/>
      <c r="F40" s="43" t="s">
        <v>11</v>
      </c>
      <c r="G40" s="40">
        <v>0</v>
      </c>
      <c r="H40" s="40">
        <v>32767.7</v>
      </c>
      <c r="I40" s="40">
        <v>0</v>
      </c>
      <c r="J40" s="40">
        <v>0</v>
      </c>
      <c r="K40" s="40">
        <v>0</v>
      </c>
      <c r="L40" s="41">
        <f t="shared" si="7"/>
        <v>0</v>
      </c>
      <c r="M40" s="177"/>
      <c r="N40" s="165"/>
      <c r="O40" s="42"/>
      <c r="P40" s="42"/>
      <c r="Q40" s="42"/>
    </row>
    <row r="41" spans="1:17" ht="21" x14ac:dyDescent="0.25">
      <c r="A41" s="166">
        <v>5</v>
      </c>
      <c r="B41" s="169" t="s">
        <v>129</v>
      </c>
      <c r="C41" s="171" t="s">
        <v>125</v>
      </c>
      <c r="D41" s="171" t="s">
        <v>130</v>
      </c>
      <c r="E41" s="173">
        <v>80259.58</v>
      </c>
      <c r="F41" s="39" t="s">
        <v>6</v>
      </c>
      <c r="G41" s="40">
        <f>SUM(G42:G45)</f>
        <v>0</v>
      </c>
      <c r="H41" s="40">
        <f>SUM(H42:H45)</f>
        <v>42525.440000000002</v>
      </c>
      <c r="I41" s="40">
        <f t="shared" ref="I41:K41" si="8">SUM(I42:I45)</f>
        <v>0</v>
      </c>
      <c r="J41" s="40">
        <f t="shared" si="8"/>
        <v>0</v>
      </c>
      <c r="K41" s="40">
        <f t="shared" si="8"/>
        <v>0</v>
      </c>
      <c r="L41" s="41">
        <f>J41/H41</f>
        <v>0</v>
      </c>
      <c r="M41" s="175">
        <v>0</v>
      </c>
      <c r="N41" s="163" t="s">
        <v>127</v>
      </c>
      <c r="O41" s="42"/>
      <c r="P41" s="42"/>
      <c r="Q41" s="42"/>
    </row>
    <row r="42" spans="1:17" x14ac:dyDescent="0.25">
      <c r="A42" s="167"/>
      <c r="B42" s="170"/>
      <c r="C42" s="172"/>
      <c r="D42" s="172"/>
      <c r="E42" s="174"/>
      <c r="F42" s="43" t="s">
        <v>8</v>
      </c>
      <c r="G42" s="40">
        <v>0</v>
      </c>
      <c r="H42" s="40">
        <v>13724.38</v>
      </c>
      <c r="I42" s="40">
        <v>0</v>
      </c>
      <c r="J42" s="40">
        <v>0</v>
      </c>
      <c r="K42" s="40">
        <v>0</v>
      </c>
      <c r="L42" s="41">
        <f t="shared" ref="L42:L45" si="9">J42/H42</f>
        <v>0</v>
      </c>
      <c r="M42" s="176"/>
      <c r="N42" s="164"/>
      <c r="O42" s="42"/>
      <c r="P42" s="42"/>
      <c r="Q42" s="42"/>
    </row>
    <row r="43" spans="1:17" x14ac:dyDescent="0.25">
      <c r="A43" s="167"/>
      <c r="B43" s="170"/>
      <c r="C43" s="172"/>
      <c r="D43" s="172"/>
      <c r="E43" s="174"/>
      <c r="F43" s="43" t="s">
        <v>9</v>
      </c>
      <c r="G43" s="40">
        <v>0</v>
      </c>
      <c r="H43" s="40">
        <v>21713.49</v>
      </c>
      <c r="I43" s="40">
        <v>0</v>
      </c>
      <c r="J43" s="40">
        <v>0</v>
      </c>
      <c r="K43" s="40">
        <v>0</v>
      </c>
      <c r="L43" s="41">
        <f t="shared" si="9"/>
        <v>0</v>
      </c>
      <c r="M43" s="176"/>
      <c r="N43" s="164"/>
      <c r="O43" s="42"/>
      <c r="P43" s="42"/>
      <c r="Q43" s="42"/>
    </row>
    <row r="44" spans="1:17" x14ac:dyDescent="0.25">
      <c r="A44" s="167"/>
      <c r="B44" s="170"/>
      <c r="C44" s="172"/>
      <c r="D44" s="172"/>
      <c r="E44" s="174"/>
      <c r="F44" s="43" t="s">
        <v>10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1">
        <v>0</v>
      </c>
      <c r="M44" s="176"/>
      <c r="N44" s="164"/>
      <c r="O44" s="42"/>
      <c r="P44" s="42"/>
      <c r="Q44" s="42"/>
    </row>
    <row r="45" spans="1:17" x14ac:dyDescent="0.25">
      <c r="A45" s="168"/>
      <c r="B45" s="170"/>
      <c r="C45" s="172"/>
      <c r="D45" s="172"/>
      <c r="E45" s="174"/>
      <c r="F45" s="43" t="s">
        <v>11</v>
      </c>
      <c r="G45" s="40">
        <v>0</v>
      </c>
      <c r="H45" s="40">
        <v>7087.57</v>
      </c>
      <c r="I45" s="40">
        <v>0</v>
      </c>
      <c r="J45" s="40">
        <v>0</v>
      </c>
      <c r="K45" s="40">
        <v>0</v>
      </c>
      <c r="L45" s="41">
        <f t="shared" si="9"/>
        <v>0</v>
      </c>
      <c r="M45" s="177"/>
      <c r="N45" s="165"/>
      <c r="O45" s="42"/>
      <c r="P45" s="42"/>
      <c r="Q45" s="42"/>
    </row>
    <row r="46" spans="1:17" ht="21" x14ac:dyDescent="0.25">
      <c r="A46" s="166">
        <v>6</v>
      </c>
      <c r="B46" s="179" t="s">
        <v>131</v>
      </c>
      <c r="C46" s="171" t="s">
        <v>125</v>
      </c>
      <c r="D46" s="171" t="s">
        <v>126</v>
      </c>
      <c r="E46" s="173">
        <f>G46+H46</f>
        <v>118355.71</v>
      </c>
      <c r="F46" s="39" t="s">
        <v>6</v>
      </c>
      <c r="G46" s="40">
        <f>SUM(G47:G50)</f>
        <v>0</v>
      </c>
      <c r="H46" s="40">
        <f>SUM(H47:H50)</f>
        <v>118355.71</v>
      </c>
      <c r="I46" s="40">
        <f t="shared" ref="I46:K46" si="10">SUM(I47:I50)</f>
        <v>0</v>
      </c>
      <c r="J46" s="40">
        <f t="shared" si="10"/>
        <v>0</v>
      </c>
      <c r="K46" s="40">
        <f t="shared" si="10"/>
        <v>0</v>
      </c>
      <c r="L46" s="41">
        <f>J46/H46</f>
        <v>0</v>
      </c>
      <c r="M46" s="175">
        <v>0</v>
      </c>
      <c r="N46" s="163" t="s">
        <v>127</v>
      </c>
      <c r="O46" s="42"/>
      <c r="P46" s="42"/>
      <c r="Q46" s="42"/>
    </row>
    <row r="47" spans="1:17" x14ac:dyDescent="0.25">
      <c r="A47" s="167"/>
      <c r="B47" s="180"/>
      <c r="C47" s="172"/>
      <c r="D47" s="172"/>
      <c r="E47" s="174"/>
      <c r="F47" s="43" t="s">
        <v>8</v>
      </c>
      <c r="G47" s="40">
        <v>0</v>
      </c>
      <c r="H47" s="40">
        <v>38197.33</v>
      </c>
      <c r="I47" s="40">
        <v>0</v>
      </c>
      <c r="J47" s="40">
        <v>0</v>
      </c>
      <c r="K47" s="40">
        <v>0</v>
      </c>
      <c r="L47" s="41">
        <f t="shared" ref="L47:L50" si="11">J47/H47</f>
        <v>0</v>
      </c>
      <c r="M47" s="176"/>
      <c r="N47" s="164"/>
      <c r="O47" s="42"/>
      <c r="P47" s="42"/>
      <c r="Q47" s="42"/>
    </row>
    <row r="48" spans="1:17" x14ac:dyDescent="0.25">
      <c r="A48" s="167"/>
      <c r="B48" s="180"/>
      <c r="C48" s="172"/>
      <c r="D48" s="172"/>
      <c r="E48" s="174"/>
      <c r="F48" s="43" t="s">
        <v>9</v>
      </c>
      <c r="G48" s="40">
        <v>0</v>
      </c>
      <c r="H48" s="40">
        <v>60432.43</v>
      </c>
      <c r="I48" s="40">
        <v>0</v>
      </c>
      <c r="J48" s="40">
        <v>0</v>
      </c>
      <c r="K48" s="40">
        <v>0</v>
      </c>
      <c r="L48" s="41">
        <f t="shared" si="11"/>
        <v>0</v>
      </c>
      <c r="M48" s="176"/>
      <c r="N48" s="164"/>
      <c r="O48" s="42"/>
      <c r="P48" s="42"/>
      <c r="Q48" s="42"/>
    </row>
    <row r="49" spans="1:17" x14ac:dyDescent="0.25">
      <c r="A49" s="167"/>
      <c r="B49" s="180"/>
      <c r="C49" s="172"/>
      <c r="D49" s="172"/>
      <c r="E49" s="174"/>
      <c r="F49" s="43" t="s">
        <v>10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1">
        <v>0</v>
      </c>
      <c r="M49" s="176"/>
      <c r="N49" s="164"/>
      <c r="O49" s="42"/>
      <c r="P49" s="42"/>
      <c r="Q49" s="42"/>
    </row>
    <row r="50" spans="1:17" x14ac:dyDescent="0.25">
      <c r="A50" s="168"/>
      <c r="B50" s="180"/>
      <c r="C50" s="172"/>
      <c r="D50" s="172"/>
      <c r="E50" s="174"/>
      <c r="F50" s="43" t="s">
        <v>11</v>
      </c>
      <c r="G50" s="40">
        <v>0</v>
      </c>
      <c r="H50" s="40">
        <v>19725.95</v>
      </c>
      <c r="I50" s="40">
        <v>0</v>
      </c>
      <c r="J50" s="40">
        <v>0</v>
      </c>
      <c r="K50" s="40">
        <v>0</v>
      </c>
      <c r="L50" s="41">
        <f t="shared" si="11"/>
        <v>0</v>
      </c>
      <c r="M50" s="177"/>
      <c r="N50" s="165"/>
      <c r="O50" s="42"/>
      <c r="P50" s="42"/>
      <c r="Q50" s="42"/>
    </row>
    <row r="51" spans="1:17" ht="21" x14ac:dyDescent="0.25">
      <c r="A51" s="166">
        <v>7</v>
      </c>
      <c r="B51" s="178" t="s">
        <v>132</v>
      </c>
      <c r="C51" s="171" t="s">
        <v>125</v>
      </c>
      <c r="D51" s="171" t="s">
        <v>126</v>
      </c>
      <c r="E51" s="173">
        <f>G51+H51</f>
        <v>234446.37</v>
      </c>
      <c r="F51" s="39" t="s">
        <v>6</v>
      </c>
      <c r="G51" s="40">
        <f t="shared" ref="G51" si="12">SUM(G52:G55)</f>
        <v>0</v>
      </c>
      <c r="H51" s="40">
        <f>SUM(H52:H55)</f>
        <v>234446.37</v>
      </c>
      <c r="I51" s="40">
        <f t="shared" ref="I51:K51" si="13">SUM(I52:I55)</f>
        <v>0</v>
      </c>
      <c r="J51" s="40">
        <f t="shared" si="13"/>
        <v>0</v>
      </c>
      <c r="K51" s="40">
        <f t="shared" si="13"/>
        <v>0</v>
      </c>
      <c r="L51" s="41">
        <f>J51/H51</f>
        <v>0</v>
      </c>
      <c r="M51" s="175">
        <v>0</v>
      </c>
      <c r="N51" s="163" t="s">
        <v>133</v>
      </c>
      <c r="O51" s="42"/>
      <c r="P51" s="42"/>
      <c r="Q51" s="42"/>
    </row>
    <row r="52" spans="1:17" x14ac:dyDescent="0.25">
      <c r="A52" s="167"/>
      <c r="B52" s="170"/>
      <c r="C52" s="172"/>
      <c r="D52" s="172"/>
      <c r="E52" s="174"/>
      <c r="F52" s="43" t="s">
        <v>8</v>
      </c>
      <c r="G52" s="40">
        <v>0</v>
      </c>
      <c r="H52" s="40">
        <v>75663.66</v>
      </c>
      <c r="I52" s="40">
        <v>0</v>
      </c>
      <c r="J52" s="40">
        <v>0</v>
      </c>
      <c r="K52" s="40">
        <v>0</v>
      </c>
      <c r="L52" s="41">
        <f t="shared" ref="L52:L55" si="14">J52/H52</f>
        <v>0</v>
      </c>
      <c r="M52" s="176"/>
      <c r="N52" s="164"/>
      <c r="O52" s="42"/>
      <c r="P52" s="42"/>
      <c r="Q52" s="42"/>
    </row>
    <row r="53" spans="1:17" x14ac:dyDescent="0.25">
      <c r="A53" s="167"/>
      <c r="B53" s="170"/>
      <c r="C53" s="172"/>
      <c r="D53" s="172"/>
      <c r="E53" s="174"/>
      <c r="F53" s="43" t="s">
        <v>9</v>
      </c>
      <c r="G53" s="40">
        <v>0</v>
      </c>
      <c r="H53" s="40">
        <v>119708.32</v>
      </c>
      <c r="I53" s="40">
        <v>0</v>
      </c>
      <c r="J53" s="40">
        <v>0</v>
      </c>
      <c r="K53" s="40">
        <v>0</v>
      </c>
      <c r="L53" s="41">
        <f t="shared" si="14"/>
        <v>0</v>
      </c>
      <c r="M53" s="176"/>
      <c r="N53" s="164"/>
      <c r="O53" s="42"/>
      <c r="P53" s="42"/>
      <c r="Q53" s="42"/>
    </row>
    <row r="54" spans="1:17" x14ac:dyDescent="0.25">
      <c r="A54" s="167"/>
      <c r="B54" s="170"/>
      <c r="C54" s="172"/>
      <c r="D54" s="172"/>
      <c r="E54" s="174"/>
      <c r="F54" s="43" t="s">
        <v>10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1">
        <v>0</v>
      </c>
      <c r="M54" s="176"/>
      <c r="N54" s="164"/>
      <c r="O54" s="42"/>
      <c r="P54" s="42"/>
      <c r="Q54" s="42"/>
    </row>
    <row r="55" spans="1:17" x14ac:dyDescent="0.25">
      <c r="A55" s="168"/>
      <c r="B55" s="170"/>
      <c r="C55" s="172"/>
      <c r="D55" s="172"/>
      <c r="E55" s="174"/>
      <c r="F55" s="43" t="s">
        <v>11</v>
      </c>
      <c r="G55" s="40">
        <v>0</v>
      </c>
      <c r="H55" s="40">
        <v>39074.39</v>
      </c>
      <c r="I55" s="40">
        <v>0</v>
      </c>
      <c r="J55" s="40">
        <v>0</v>
      </c>
      <c r="K55" s="40">
        <v>0</v>
      </c>
      <c r="L55" s="41">
        <f t="shared" si="14"/>
        <v>0</v>
      </c>
      <c r="M55" s="177"/>
      <c r="N55" s="165"/>
      <c r="O55" s="42"/>
      <c r="P55" s="42"/>
      <c r="Q55" s="42"/>
    </row>
    <row r="56" spans="1:17" x14ac:dyDescent="0.25">
      <c r="A56" s="139" t="s">
        <v>134</v>
      </c>
      <c r="B56" s="140"/>
      <c r="C56" s="140"/>
      <c r="D56" s="140"/>
      <c r="E56" s="140"/>
      <c r="F56" s="140"/>
      <c r="G56" s="140"/>
      <c r="H56" s="140"/>
      <c r="I56" s="140"/>
      <c r="J56" s="140"/>
      <c r="K56" s="140"/>
      <c r="L56" s="140"/>
      <c r="M56" s="140"/>
      <c r="N56" s="140"/>
      <c r="O56" s="31"/>
      <c r="P56" s="31"/>
      <c r="Q56" s="31"/>
    </row>
    <row r="57" spans="1:17" ht="21" x14ac:dyDescent="0.25">
      <c r="A57" s="181">
        <v>8</v>
      </c>
      <c r="B57" s="169" t="s">
        <v>135</v>
      </c>
      <c r="C57" s="171" t="s">
        <v>136</v>
      </c>
      <c r="D57" s="171" t="s">
        <v>137</v>
      </c>
      <c r="E57" s="173">
        <f>G57+H57</f>
        <v>70188.209999999992</v>
      </c>
      <c r="F57" s="39" t="s">
        <v>6</v>
      </c>
      <c r="G57" s="44">
        <f>SUM(G58:G61)</f>
        <v>29194.37</v>
      </c>
      <c r="H57" s="44">
        <f t="shared" ref="H57:K57" si="15">SUM(H58:H61)</f>
        <v>40993.839999999997</v>
      </c>
      <c r="I57" s="44">
        <f t="shared" si="15"/>
        <v>25884.80975</v>
      </c>
      <c r="J57" s="44">
        <f t="shared" si="15"/>
        <v>21937.5</v>
      </c>
      <c r="K57" s="44">
        <f t="shared" si="15"/>
        <v>0</v>
      </c>
      <c r="L57" s="45">
        <f>J57/H57</f>
        <v>0.53514137733864409</v>
      </c>
      <c r="M57" s="183">
        <v>0.313</v>
      </c>
      <c r="N57" s="185" t="s">
        <v>138</v>
      </c>
      <c r="O57" s="46"/>
      <c r="P57" s="46"/>
      <c r="Q57" s="46"/>
    </row>
    <row r="58" spans="1:17" x14ac:dyDescent="0.25">
      <c r="A58" s="182"/>
      <c r="B58" s="170"/>
      <c r="C58" s="172"/>
      <c r="D58" s="172"/>
      <c r="E58" s="174"/>
      <c r="F58" s="43" t="s">
        <v>8</v>
      </c>
      <c r="G58" s="47">
        <v>23121.94</v>
      </c>
      <c r="H58" s="40">
        <v>32467.119999999999</v>
      </c>
      <c r="I58" s="40">
        <v>24726.348750000001</v>
      </c>
      <c r="J58" s="48">
        <v>21937.5</v>
      </c>
      <c r="K58" s="40">
        <v>0</v>
      </c>
      <c r="L58" s="49">
        <f t="shared" ref="L58:L93" si="16">J58/H58</f>
        <v>0.67568358388424965</v>
      </c>
      <c r="M58" s="184"/>
      <c r="N58" s="186"/>
      <c r="O58" s="46"/>
      <c r="P58" s="46"/>
      <c r="Q58" s="46"/>
    </row>
    <row r="59" spans="1:17" x14ac:dyDescent="0.25">
      <c r="A59" s="182"/>
      <c r="B59" s="170"/>
      <c r="C59" s="172"/>
      <c r="D59" s="172"/>
      <c r="E59" s="174"/>
      <c r="F59" s="43" t="s">
        <v>9</v>
      </c>
      <c r="G59" s="47">
        <v>0</v>
      </c>
      <c r="H59" s="40">
        <v>0</v>
      </c>
      <c r="I59" s="40">
        <v>0</v>
      </c>
      <c r="J59" s="40">
        <v>0</v>
      </c>
      <c r="K59" s="40">
        <v>0</v>
      </c>
      <c r="L59" s="49">
        <v>0</v>
      </c>
      <c r="M59" s="184"/>
      <c r="N59" s="186"/>
      <c r="O59" s="46"/>
      <c r="P59" s="46"/>
      <c r="Q59" s="46"/>
    </row>
    <row r="60" spans="1:17" x14ac:dyDescent="0.25">
      <c r="A60" s="182"/>
      <c r="B60" s="170"/>
      <c r="C60" s="172"/>
      <c r="D60" s="172"/>
      <c r="E60" s="174"/>
      <c r="F60" s="43" t="s">
        <v>10</v>
      </c>
      <c r="G60" s="47">
        <v>233.56</v>
      </c>
      <c r="H60" s="40">
        <v>327.95</v>
      </c>
      <c r="I60" s="48">
        <v>249.761</v>
      </c>
      <c r="J60" s="40">
        <v>0</v>
      </c>
      <c r="K60" s="40">
        <v>0</v>
      </c>
      <c r="L60" s="49">
        <f t="shared" si="16"/>
        <v>0</v>
      </c>
      <c r="M60" s="184"/>
      <c r="N60" s="186"/>
      <c r="O60" s="46"/>
      <c r="P60" s="46"/>
      <c r="Q60" s="46"/>
    </row>
    <row r="61" spans="1:17" x14ac:dyDescent="0.25">
      <c r="A61" s="182"/>
      <c r="B61" s="170"/>
      <c r="C61" s="172"/>
      <c r="D61" s="172"/>
      <c r="E61" s="174"/>
      <c r="F61" s="43" t="s">
        <v>11</v>
      </c>
      <c r="G61" s="47">
        <v>5838.87</v>
      </c>
      <c r="H61" s="40">
        <v>8198.77</v>
      </c>
      <c r="I61" s="40">
        <v>908.7</v>
      </c>
      <c r="J61" s="40">
        <v>0</v>
      </c>
      <c r="K61" s="40">
        <v>0</v>
      </c>
      <c r="L61" s="49">
        <f t="shared" si="16"/>
        <v>0</v>
      </c>
      <c r="M61" s="184"/>
      <c r="N61" s="187"/>
      <c r="O61" s="46"/>
      <c r="P61" s="46"/>
      <c r="Q61" s="46"/>
    </row>
    <row r="62" spans="1:17" ht="21" x14ac:dyDescent="0.25">
      <c r="A62" s="181">
        <v>9</v>
      </c>
      <c r="B62" s="169" t="s">
        <v>139</v>
      </c>
      <c r="C62" s="171" t="s">
        <v>140</v>
      </c>
      <c r="D62" s="171" t="s">
        <v>137</v>
      </c>
      <c r="E62" s="173">
        <f>G62+H62</f>
        <v>21388.86</v>
      </c>
      <c r="F62" s="39" t="s">
        <v>6</v>
      </c>
      <c r="G62" s="44">
        <f>SUM(G63:G66)</f>
        <v>12681.510000000002</v>
      </c>
      <c r="H62" s="44">
        <f>SUM(H63:H66)</f>
        <v>8707.35</v>
      </c>
      <c r="I62" s="44">
        <f t="shared" ref="I62:K62" si="17">SUM(I63:I66)</f>
        <v>6037.7000000000007</v>
      </c>
      <c r="J62" s="44">
        <f t="shared" si="17"/>
        <v>0</v>
      </c>
      <c r="K62" s="44">
        <f t="shared" si="17"/>
        <v>0</v>
      </c>
      <c r="L62" s="45">
        <f t="shared" si="16"/>
        <v>0</v>
      </c>
      <c r="M62" s="183">
        <v>0</v>
      </c>
      <c r="N62" s="185" t="s">
        <v>138</v>
      </c>
      <c r="O62" s="46"/>
      <c r="P62" s="46"/>
      <c r="Q62" s="46"/>
    </row>
    <row r="63" spans="1:17" x14ac:dyDescent="0.25">
      <c r="A63" s="182"/>
      <c r="B63" s="170"/>
      <c r="C63" s="172"/>
      <c r="D63" s="172"/>
      <c r="E63" s="174"/>
      <c r="F63" s="43" t="s">
        <v>8</v>
      </c>
      <c r="G63" s="47">
        <v>10043.76</v>
      </c>
      <c r="H63" s="40">
        <v>6896.22</v>
      </c>
      <c r="I63" s="40">
        <v>5252</v>
      </c>
      <c r="J63" s="40">
        <v>0</v>
      </c>
      <c r="K63" s="40">
        <v>0</v>
      </c>
      <c r="L63" s="49">
        <f t="shared" si="16"/>
        <v>0</v>
      </c>
      <c r="M63" s="184"/>
      <c r="N63" s="186"/>
      <c r="O63" s="46"/>
      <c r="P63" s="46"/>
      <c r="Q63" s="46"/>
    </row>
    <row r="64" spans="1:17" x14ac:dyDescent="0.25">
      <c r="A64" s="182"/>
      <c r="B64" s="170"/>
      <c r="C64" s="172"/>
      <c r="D64" s="172"/>
      <c r="E64" s="174"/>
      <c r="F64" s="43" t="s">
        <v>9</v>
      </c>
      <c r="G64" s="47">
        <v>0</v>
      </c>
      <c r="H64" s="40">
        <v>0</v>
      </c>
      <c r="I64" s="40">
        <v>0</v>
      </c>
      <c r="J64" s="40">
        <v>0</v>
      </c>
      <c r="K64" s="40">
        <v>0</v>
      </c>
      <c r="L64" s="49">
        <v>0</v>
      </c>
      <c r="M64" s="184"/>
      <c r="N64" s="186"/>
      <c r="O64" s="46"/>
      <c r="P64" s="46"/>
      <c r="Q64" s="46"/>
    </row>
    <row r="65" spans="1:17" x14ac:dyDescent="0.25">
      <c r="A65" s="182"/>
      <c r="B65" s="170"/>
      <c r="C65" s="172"/>
      <c r="D65" s="172"/>
      <c r="E65" s="174"/>
      <c r="F65" s="43" t="s">
        <v>10</v>
      </c>
      <c r="G65" s="47">
        <v>101.45</v>
      </c>
      <c r="H65" s="40">
        <v>69.66</v>
      </c>
      <c r="I65" s="40">
        <v>53.1</v>
      </c>
      <c r="J65" s="40">
        <v>0</v>
      </c>
      <c r="K65" s="40">
        <v>0</v>
      </c>
      <c r="L65" s="49">
        <f t="shared" si="16"/>
        <v>0</v>
      </c>
      <c r="M65" s="184"/>
      <c r="N65" s="186"/>
      <c r="O65" s="46"/>
      <c r="P65" s="46"/>
      <c r="Q65" s="46"/>
    </row>
    <row r="66" spans="1:17" x14ac:dyDescent="0.25">
      <c r="A66" s="182"/>
      <c r="B66" s="170"/>
      <c r="C66" s="172"/>
      <c r="D66" s="172"/>
      <c r="E66" s="174"/>
      <c r="F66" s="43" t="s">
        <v>11</v>
      </c>
      <c r="G66" s="47">
        <v>2536.3000000000002</v>
      </c>
      <c r="H66" s="40">
        <v>1741.47</v>
      </c>
      <c r="I66" s="40">
        <v>732.6</v>
      </c>
      <c r="J66" s="40">
        <v>0</v>
      </c>
      <c r="K66" s="40">
        <v>0</v>
      </c>
      <c r="L66" s="49">
        <f t="shared" si="16"/>
        <v>0</v>
      </c>
      <c r="M66" s="184"/>
      <c r="N66" s="187"/>
      <c r="O66" s="46"/>
      <c r="P66" s="46"/>
      <c r="Q66" s="46"/>
    </row>
    <row r="67" spans="1:17" ht="21" x14ac:dyDescent="0.25">
      <c r="A67" s="181">
        <v>10</v>
      </c>
      <c r="B67" s="169" t="s">
        <v>141</v>
      </c>
      <c r="C67" s="171" t="s">
        <v>140</v>
      </c>
      <c r="D67" s="171" t="s">
        <v>137</v>
      </c>
      <c r="E67" s="173">
        <f>G67+H67</f>
        <v>54665.969999999994</v>
      </c>
      <c r="F67" s="39" t="s">
        <v>6</v>
      </c>
      <c r="G67" s="50">
        <f>SUM(G68:G71)</f>
        <v>25818.309999999998</v>
      </c>
      <c r="H67" s="44">
        <f t="shared" ref="H67:K67" si="18">SUM(H68:H71)</f>
        <v>28847.659999999996</v>
      </c>
      <c r="I67" s="44">
        <f t="shared" si="18"/>
        <v>18188.499999999996</v>
      </c>
      <c r="J67" s="44">
        <f t="shared" si="18"/>
        <v>17575.899999999998</v>
      </c>
      <c r="K67" s="44">
        <f t="shared" si="18"/>
        <v>0</v>
      </c>
      <c r="L67" s="45">
        <f t="shared" si="16"/>
        <v>0.60926605485505581</v>
      </c>
      <c r="M67" s="183">
        <v>0.32200000000000001</v>
      </c>
      <c r="N67" s="185" t="s">
        <v>138</v>
      </c>
      <c r="O67" s="46"/>
      <c r="P67" s="46"/>
      <c r="Q67" s="46"/>
    </row>
    <row r="68" spans="1:17" x14ac:dyDescent="0.25">
      <c r="A68" s="182"/>
      <c r="B68" s="170"/>
      <c r="C68" s="172"/>
      <c r="D68" s="172"/>
      <c r="E68" s="174"/>
      <c r="F68" s="43" t="s">
        <v>8</v>
      </c>
      <c r="G68" s="47">
        <v>20448.099999999999</v>
      </c>
      <c r="H68" s="40">
        <v>22847.35</v>
      </c>
      <c r="I68" s="40">
        <v>17400.099999999999</v>
      </c>
      <c r="J68" s="40">
        <v>17400.099999999999</v>
      </c>
      <c r="K68" s="40">
        <v>0</v>
      </c>
      <c r="L68" s="49">
        <f t="shared" si="16"/>
        <v>0.76158066471603925</v>
      </c>
      <c r="M68" s="184"/>
      <c r="N68" s="186"/>
      <c r="O68" s="46"/>
      <c r="P68" s="46"/>
      <c r="Q68" s="46"/>
    </row>
    <row r="69" spans="1:17" x14ac:dyDescent="0.25">
      <c r="A69" s="182"/>
      <c r="B69" s="170"/>
      <c r="C69" s="172"/>
      <c r="D69" s="172"/>
      <c r="E69" s="174"/>
      <c r="F69" s="43" t="s">
        <v>9</v>
      </c>
      <c r="G69" s="47">
        <v>0</v>
      </c>
      <c r="H69" s="40">
        <v>0</v>
      </c>
      <c r="I69" s="40">
        <v>0</v>
      </c>
      <c r="J69" s="40">
        <v>0</v>
      </c>
      <c r="K69" s="40">
        <v>0</v>
      </c>
      <c r="L69" s="49">
        <v>0</v>
      </c>
      <c r="M69" s="184"/>
      <c r="N69" s="186"/>
      <c r="O69" s="46"/>
      <c r="P69" s="46"/>
      <c r="Q69" s="46"/>
    </row>
    <row r="70" spans="1:17" x14ac:dyDescent="0.25">
      <c r="A70" s="182"/>
      <c r="B70" s="170"/>
      <c r="C70" s="172"/>
      <c r="D70" s="172"/>
      <c r="E70" s="174"/>
      <c r="F70" s="43" t="s">
        <v>10</v>
      </c>
      <c r="G70" s="47">
        <v>206.55</v>
      </c>
      <c r="H70" s="40">
        <v>230.78</v>
      </c>
      <c r="I70" s="40">
        <v>175.8</v>
      </c>
      <c r="J70" s="40">
        <v>175.8</v>
      </c>
      <c r="K70" s="40">
        <v>0</v>
      </c>
      <c r="L70" s="49">
        <f t="shared" si="16"/>
        <v>0.76176445099228707</v>
      </c>
      <c r="M70" s="184"/>
      <c r="N70" s="186"/>
      <c r="O70" s="46"/>
      <c r="P70" s="46"/>
      <c r="Q70" s="46"/>
    </row>
    <row r="71" spans="1:17" x14ac:dyDescent="0.25">
      <c r="A71" s="182"/>
      <c r="B71" s="170"/>
      <c r="C71" s="172"/>
      <c r="D71" s="172"/>
      <c r="E71" s="174"/>
      <c r="F71" s="43" t="s">
        <v>11</v>
      </c>
      <c r="G71" s="40">
        <v>5163.66</v>
      </c>
      <c r="H71" s="40">
        <v>5769.53</v>
      </c>
      <c r="I71" s="40">
        <v>612.6</v>
      </c>
      <c r="J71" s="40">
        <v>0</v>
      </c>
      <c r="K71" s="40">
        <v>0</v>
      </c>
      <c r="L71" s="49">
        <f t="shared" si="16"/>
        <v>0</v>
      </c>
      <c r="M71" s="184"/>
      <c r="N71" s="187"/>
      <c r="O71" s="46"/>
      <c r="P71" s="46"/>
      <c r="Q71" s="46"/>
    </row>
    <row r="72" spans="1:17" ht="21" x14ac:dyDescent="0.25">
      <c r="A72" s="181">
        <v>11</v>
      </c>
      <c r="B72" s="169" t="s">
        <v>142</v>
      </c>
      <c r="C72" s="171" t="s">
        <v>140</v>
      </c>
      <c r="D72" s="171" t="s">
        <v>137</v>
      </c>
      <c r="E72" s="173">
        <f>G72+H72</f>
        <v>50487.7</v>
      </c>
      <c r="F72" s="39" t="s">
        <v>6</v>
      </c>
      <c r="G72" s="44">
        <f>SUM(G73:G76)</f>
        <v>21083.459999999995</v>
      </c>
      <c r="H72" s="44">
        <f t="shared" ref="H72:K72" si="19">SUM(H73:H76)</f>
        <v>29404.239999999998</v>
      </c>
      <c r="I72" s="44">
        <f t="shared" si="19"/>
        <v>22599.5</v>
      </c>
      <c r="J72" s="44">
        <f t="shared" si="19"/>
        <v>0</v>
      </c>
      <c r="K72" s="44">
        <f t="shared" si="19"/>
        <v>0</v>
      </c>
      <c r="L72" s="45">
        <f t="shared" si="16"/>
        <v>0</v>
      </c>
      <c r="M72" s="183">
        <v>0</v>
      </c>
      <c r="N72" s="185" t="s">
        <v>138</v>
      </c>
      <c r="O72" s="46"/>
      <c r="P72" s="46"/>
      <c r="Q72" s="46"/>
    </row>
    <row r="73" spans="1:17" x14ac:dyDescent="0.25">
      <c r="A73" s="182"/>
      <c r="B73" s="170"/>
      <c r="C73" s="172"/>
      <c r="D73" s="172"/>
      <c r="E73" s="174"/>
      <c r="F73" s="43" t="s">
        <v>8</v>
      </c>
      <c r="G73" s="40">
        <v>16698.099999999999</v>
      </c>
      <c r="H73" s="40">
        <v>23288.16</v>
      </c>
      <c r="I73" s="40">
        <v>17735.8</v>
      </c>
      <c r="J73" s="40">
        <v>0</v>
      </c>
      <c r="K73" s="40">
        <v>0</v>
      </c>
      <c r="L73" s="49">
        <f t="shared" si="16"/>
        <v>0</v>
      </c>
      <c r="M73" s="184"/>
      <c r="N73" s="186"/>
      <c r="O73" s="46"/>
      <c r="P73" s="46"/>
      <c r="Q73" s="46"/>
    </row>
    <row r="74" spans="1:17" x14ac:dyDescent="0.25">
      <c r="A74" s="182"/>
      <c r="B74" s="170"/>
      <c r="C74" s="172"/>
      <c r="D74" s="172"/>
      <c r="E74" s="174"/>
      <c r="F74" s="43" t="s">
        <v>9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9">
        <v>0</v>
      </c>
      <c r="M74" s="184"/>
      <c r="N74" s="186"/>
      <c r="O74" s="46"/>
      <c r="P74" s="46"/>
      <c r="Q74" s="46"/>
    </row>
    <row r="75" spans="1:17" x14ac:dyDescent="0.25">
      <c r="A75" s="182"/>
      <c r="B75" s="170"/>
      <c r="C75" s="172"/>
      <c r="D75" s="172"/>
      <c r="E75" s="174"/>
      <c r="F75" s="43" t="s">
        <v>10</v>
      </c>
      <c r="G75" s="40">
        <v>168.67</v>
      </c>
      <c r="H75" s="40">
        <v>235.23</v>
      </c>
      <c r="I75" s="40">
        <v>179.1</v>
      </c>
      <c r="J75" s="40">
        <v>0</v>
      </c>
      <c r="K75" s="40">
        <v>0</v>
      </c>
      <c r="L75" s="49">
        <f t="shared" si="16"/>
        <v>0</v>
      </c>
      <c r="M75" s="184"/>
      <c r="N75" s="186"/>
      <c r="O75" s="46"/>
      <c r="P75" s="46"/>
      <c r="Q75" s="46"/>
    </row>
    <row r="76" spans="1:17" x14ac:dyDescent="0.25">
      <c r="A76" s="182"/>
      <c r="B76" s="170"/>
      <c r="C76" s="172"/>
      <c r="D76" s="172"/>
      <c r="E76" s="174"/>
      <c r="F76" s="43" t="s">
        <v>11</v>
      </c>
      <c r="G76" s="40">
        <v>4216.6899999999996</v>
      </c>
      <c r="H76" s="40">
        <v>5880.85</v>
      </c>
      <c r="I76" s="51">
        <v>4684.6000000000004</v>
      </c>
      <c r="J76" s="40">
        <v>0</v>
      </c>
      <c r="K76" s="40">
        <v>0</v>
      </c>
      <c r="L76" s="49">
        <f t="shared" si="16"/>
        <v>0</v>
      </c>
      <c r="M76" s="184"/>
      <c r="N76" s="187"/>
      <c r="O76" s="46"/>
      <c r="P76" s="46"/>
      <c r="Q76" s="46"/>
    </row>
    <row r="77" spans="1:17" ht="21" x14ac:dyDescent="0.25">
      <c r="A77" s="181">
        <v>12</v>
      </c>
      <c r="B77" s="188" t="s">
        <v>143</v>
      </c>
      <c r="C77" s="171" t="s">
        <v>140</v>
      </c>
      <c r="D77" s="171" t="s">
        <v>137</v>
      </c>
      <c r="E77" s="173">
        <f>G77+H77</f>
        <v>45652.240000000005</v>
      </c>
      <c r="F77" s="39" t="s">
        <v>6</v>
      </c>
      <c r="G77" s="50">
        <f>SUM(G78:G81)</f>
        <v>6395.1100000000006</v>
      </c>
      <c r="H77" s="44">
        <f t="shared" ref="H77:K77" si="20">SUM(H78:H81)</f>
        <v>39257.130000000005</v>
      </c>
      <c r="I77" s="44">
        <f t="shared" si="20"/>
        <v>24968.2</v>
      </c>
      <c r="J77" s="44">
        <f t="shared" si="20"/>
        <v>0</v>
      </c>
      <c r="K77" s="44">
        <f t="shared" si="20"/>
        <v>0</v>
      </c>
      <c r="L77" s="45">
        <f t="shared" si="16"/>
        <v>0</v>
      </c>
      <c r="M77" s="183">
        <v>0</v>
      </c>
      <c r="N77" s="185" t="s">
        <v>138</v>
      </c>
      <c r="O77" s="46"/>
      <c r="P77" s="46"/>
      <c r="Q77" s="46"/>
    </row>
    <row r="78" spans="1:17" x14ac:dyDescent="0.25">
      <c r="A78" s="182"/>
      <c r="B78" s="180"/>
      <c r="C78" s="172"/>
      <c r="D78" s="172"/>
      <c r="E78" s="174"/>
      <c r="F78" s="43" t="s">
        <v>8</v>
      </c>
      <c r="G78" s="47">
        <v>5064.93</v>
      </c>
      <c r="H78" s="40">
        <v>31091.64</v>
      </c>
      <c r="I78" s="40">
        <v>23678.799999999999</v>
      </c>
      <c r="J78" s="40">
        <v>0</v>
      </c>
      <c r="K78" s="40">
        <v>0</v>
      </c>
      <c r="L78" s="49">
        <f t="shared" si="16"/>
        <v>0</v>
      </c>
      <c r="M78" s="184"/>
      <c r="N78" s="186"/>
      <c r="O78" s="46"/>
      <c r="P78" s="46"/>
      <c r="Q78" s="46"/>
    </row>
    <row r="79" spans="1:17" x14ac:dyDescent="0.25">
      <c r="A79" s="182"/>
      <c r="B79" s="180"/>
      <c r="C79" s="172"/>
      <c r="D79" s="172"/>
      <c r="E79" s="174"/>
      <c r="F79" s="43" t="s">
        <v>9</v>
      </c>
      <c r="G79" s="47">
        <v>0</v>
      </c>
      <c r="H79" s="40">
        <v>0</v>
      </c>
      <c r="I79" s="40">
        <v>0</v>
      </c>
      <c r="J79" s="40">
        <v>0</v>
      </c>
      <c r="K79" s="40">
        <v>0</v>
      </c>
      <c r="L79" s="49">
        <v>0</v>
      </c>
      <c r="M79" s="184"/>
      <c r="N79" s="186"/>
      <c r="O79" s="46"/>
      <c r="P79" s="46"/>
      <c r="Q79" s="46"/>
    </row>
    <row r="80" spans="1:17" x14ac:dyDescent="0.25">
      <c r="A80" s="182"/>
      <c r="B80" s="180"/>
      <c r="C80" s="172"/>
      <c r="D80" s="172"/>
      <c r="E80" s="174"/>
      <c r="F80" s="43" t="s">
        <v>10</v>
      </c>
      <c r="G80" s="40">
        <v>51.16</v>
      </c>
      <c r="H80" s="40">
        <v>314.06</v>
      </c>
      <c r="I80" s="40">
        <v>239.2</v>
      </c>
      <c r="J80" s="40">
        <v>0</v>
      </c>
      <c r="K80" s="40">
        <v>0</v>
      </c>
      <c r="L80" s="49">
        <f t="shared" si="16"/>
        <v>0</v>
      </c>
      <c r="M80" s="184"/>
      <c r="N80" s="186"/>
      <c r="O80" s="46"/>
      <c r="P80" s="46"/>
      <c r="Q80" s="46"/>
    </row>
    <row r="81" spans="1:17" x14ac:dyDescent="0.25">
      <c r="A81" s="182"/>
      <c r="B81" s="180"/>
      <c r="C81" s="172"/>
      <c r="D81" s="172"/>
      <c r="E81" s="174"/>
      <c r="F81" s="43" t="s">
        <v>11</v>
      </c>
      <c r="G81" s="40">
        <v>1279.02</v>
      </c>
      <c r="H81" s="40">
        <v>7851.43</v>
      </c>
      <c r="I81" s="40">
        <v>1050.2</v>
      </c>
      <c r="J81" s="40">
        <v>0</v>
      </c>
      <c r="K81" s="40">
        <v>0</v>
      </c>
      <c r="L81" s="49">
        <f t="shared" si="16"/>
        <v>0</v>
      </c>
      <c r="M81" s="184"/>
      <c r="N81" s="187"/>
      <c r="O81" s="46"/>
      <c r="P81" s="46"/>
      <c r="Q81" s="46"/>
    </row>
    <row r="82" spans="1:17" ht="21" x14ac:dyDescent="0.25">
      <c r="A82" s="181">
        <v>13</v>
      </c>
      <c r="B82" s="188" t="s">
        <v>144</v>
      </c>
      <c r="C82" s="171" t="s">
        <v>140</v>
      </c>
      <c r="D82" s="171" t="s">
        <v>137</v>
      </c>
      <c r="E82" s="173">
        <f>G82+H82</f>
        <v>27860.959999999995</v>
      </c>
      <c r="F82" s="39" t="s">
        <v>6</v>
      </c>
      <c r="G82" s="44">
        <f>SUM(G83:G86)</f>
        <v>3902.85</v>
      </c>
      <c r="H82" s="44">
        <f t="shared" ref="H82:K82" si="21">SUM(H83:H86)</f>
        <v>23958.109999999997</v>
      </c>
      <c r="I82" s="44">
        <f t="shared" si="21"/>
        <v>15796.199999999999</v>
      </c>
      <c r="J82" s="44">
        <f t="shared" si="21"/>
        <v>0</v>
      </c>
      <c r="K82" s="44">
        <f t="shared" si="21"/>
        <v>0</v>
      </c>
      <c r="L82" s="45">
        <f t="shared" si="16"/>
        <v>0</v>
      </c>
      <c r="M82" s="183">
        <v>0</v>
      </c>
      <c r="N82" s="185" t="s">
        <v>138</v>
      </c>
      <c r="O82" s="46"/>
      <c r="P82" s="46"/>
      <c r="Q82" s="46"/>
    </row>
    <row r="83" spans="1:17" x14ac:dyDescent="0.25">
      <c r="A83" s="182"/>
      <c r="B83" s="180"/>
      <c r="C83" s="172"/>
      <c r="D83" s="172"/>
      <c r="E83" s="174"/>
      <c r="F83" s="43" t="s">
        <v>8</v>
      </c>
      <c r="G83" s="40">
        <v>3091.06</v>
      </c>
      <c r="H83" s="40">
        <v>18974.82</v>
      </c>
      <c r="I83" s="40">
        <v>14450.9</v>
      </c>
      <c r="J83" s="40">
        <v>0</v>
      </c>
      <c r="K83" s="40">
        <v>0</v>
      </c>
      <c r="L83" s="49">
        <f t="shared" si="16"/>
        <v>0</v>
      </c>
      <c r="M83" s="184"/>
      <c r="N83" s="186"/>
      <c r="O83" s="46"/>
      <c r="P83" s="46"/>
      <c r="Q83" s="46"/>
    </row>
    <row r="84" spans="1:17" x14ac:dyDescent="0.25">
      <c r="A84" s="182"/>
      <c r="B84" s="180"/>
      <c r="C84" s="172"/>
      <c r="D84" s="172"/>
      <c r="E84" s="174"/>
      <c r="F84" s="43" t="s">
        <v>9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9">
        <v>0</v>
      </c>
      <c r="M84" s="184"/>
      <c r="N84" s="186"/>
      <c r="O84" s="46"/>
      <c r="P84" s="46"/>
      <c r="Q84" s="46"/>
    </row>
    <row r="85" spans="1:17" x14ac:dyDescent="0.25">
      <c r="A85" s="182"/>
      <c r="B85" s="180"/>
      <c r="C85" s="172"/>
      <c r="D85" s="172"/>
      <c r="E85" s="174"/>
      <c r="F85" s="43" t="s">
        <v>10</v>
      </c>
      <c r="G85" s="40">
        <v>31.22</v>
      </c>
      <c r="H85" s="40">
        <v>191.67</v>
      </c>
      <c r="I85" s="51">
        <v>146</v>
      </c>
      <c r="J85" s="40">
        <v>0</v>
      </c>
      <c r="K85" s="40">
        <v>0</v>
      </c>
      <c r="L85" s="49">
        <f t="shared" si="16"/>
        <v>0</v>
      </c>
      <c r="M85" s="184"/>
      <c r="N85" s="186"/>
      <c r="O85" s="46"/>
      <c r="P85" s="46"/>
      <c r="Q85" s="46"/>
    </row>
    <row r="86" spans="1:17" x14ac:dyDescent="0.25">
      <c r="A86" s="182"/>
      <c r="B86" s="180"/>
      <c r="C86" s="172"/>
      <c r="D86" s="172"/>
      <c r="E86" s="174"/>
      <c r="F86" s="43" t="s">
        <v>11</v>
      </c>
      <c r="G86" s="40">
        <v>780.57</v>
      </c>
      <c r="H86" s="40">
        <v>4791.62</v>
      </c>
      <c r="I86" s="51">
        <v>1199.3</v>
      </c>
      <c r="J86" s="40">
        <v>0</v>
      </c>
      <c r="K86" s="40">
        <v>0</v>
      </c>
      <c r="L86" s="49">
        <f t="shared" si="16"/>
        <v>0</v>
      </c>
      <c r="M86" s="184"/>
      <c r="N86" s="187"/>
      <c r="O86" s="46"/>
      <c r="P86" s="46"/>
      <c r="Q86" s="46"/>
    </row>
    <row r="87" spans="1:17" ht="21" x14ac:dyDescent="0.25">
      <c r="A87" s="181">
        <v>14</v>
      </c>
      <c r="B87" s="188" t="s">
        <v>145</v>
      </c>
      <c r="C87" s="171" t="s">
        <v>146</v>
      </c>
      <c r="D87" s="171" t="s">
        <v>147</v>
      </c>
      <c r="E87" s="173">
        <f>G87+H87</f>
        <v>23622.870000000003</v>
      </c>
      <c r="F87" s="39" t="s">
        <v>6</v>
      </c>
      <c r="G87" s="50">
        <f>SUM(G88:G91)</f>
        <v>11811.44</v>
      </c>
      <c r="H87" s="44">
        <f t="shared" ref="H87:K87" si="22">SUM(H88:H91)</f>
        <v>11811.43</v>
      </c>
      <c r="I87" s="44">
        <f t="shared" si="22"/>
        <v>0</v>
      </c>
      <c r="J87" s="44">
        <f t="shared" si="22"/>
        <v>0</v>
      </c>
      <c r="K87" s="44">
        <f t="shared" si="22"/>
        <v>0</v>
      </c>
      <c r="L87" s="45">
        <f t="shared" si="16"/>
        <v>0</v>
      </c>
      <c r="M87" s="183">
        <v>0</v>
      </c>
      <c r="N87" s="189" t="s">
        <v>148</v>
      </c>
      <c r="O87" s="46"/>
      <c r="P87" s="46"/>
      <c r="Q87" s="46"/>
    </row>
    <row r="88" spans="1:17" x14ac:dyDescent="0.25">
      <c r="A88" s="182"/>
      <c r="B88" s="180"/>
      <c r="C88" s="172"/>
      <c r="D88" s="172"/>
      <c r="E88" s="174"/>
      <c r="F88" s="43" t="s">
        <v>8</v>
      </c>
      <c r="G88" s="47">
        <v>11811.44</v>
      </c>
      <c r="H88" s="40">
        <v>11811.43</v>
      </c>
      <c r="I88" s="40">
        <v>0</v>
      </c>
      <c r="J88" s="40">
        <v>0</v>
      </c>
      <c r="K88" s="40">
        <v>0</v>
      </c>
      <c r="L88" s="49">
        <f t="shared" si="16"/>
        <v>0</v>
      </c>
      <c r="M88" s="184"/>
      <c r="N88" s="189"/>
      <c r="O88" s="46"/>
      <c r="P88" s="46"/>
      <c r="Q88" s="46"/>
    </row>
    <row r="89" spans="1:17" x14ac:dyDescent="0.25">
      <c r="A89" s="182"/>
      <c r="B89" s="180"/>
      <c r="C89" s="172"/>
      <c r="D89" s="172"/>
      <c r="E89" s="174"/>
      <c r="F89" s="43" t="s">
        <v>9</v>
      </c>
      <c r="G89" s="47">
        <v>0</v>
      </c>
      <c r="H89" s="40">
        <v>0</v>
      </c>
      <c r="I89" s="40">
        <v>0</v>
      </c>
      <c r="J89" s="40">
        <v>0</v>
      </c>
      <c r="K89" s="40">
        <v>0</v>
      </c>
      <c r="L89" s="49">
        <v>0</v>
      </c>
      <c r="M89" s="184"/>
      <c r="N89" s="189"/>
      <c r="O89" s="46"/>
      <c r="P89" s="46"/>
      <c r="Q89" s="46"/>
    </row>
    <row r="90" spans="1:17" x14ac:dyDescent="0.25">
      <c r="A90" s="182"/>
      <c r="B90" s="180"/>
      <c r="C90" s="172"/>
      <c r="D90" s="172"/>
      <c r="E90" s="174"/>
      <c r="F90" s="43" t="s">
        <v>10</v>
      </c>
      <c r="G90" s="47">
        <v>0</v>
      </c>
      <c r="H90" s="40">
        <v>0</v>
      </c>
      <c r="I90" s="40">
        <v>0</v>
      </c>
      <c r="J90" s="40">
        <v>0</v>
      </c>
      <c r="K90" s="40">
        <v>0</v>
      </c>
      <c r="L90" s="49">
        <v>0</v>
      </c>
      <c r="M90" s="184"/>
      <c r="N90" s="189"/>
      <c r="O90" s="46"/>
      <c r="P90" s="46"/>
      <c r="Q90" s="46"/>
    </row>
    <row r="91" spans="1:17" x14ac:dyDescent="0.25">
      <c r="A91" s="182"/>
      <c r="B91" s="180"/>
      <c r="C91" s="172"/>
      <c r="D91" s="172"/>
      <c r="E91" s="174"/>
      <c r="F91" s="43" t="s">
        <v>11</v>
      </c>
      <c r="G91" s="47">
        <v>0</v>
      </c>
      <c r="H91" s="40">
        <v>0</v>
      </c>
      <c r="I91" s="40">
        <v>0</v>
      </c>
      <c r="J91" s="40">
        <v>0</v>
      </c>
      <c r="K91" s="40">
        <v>0</v>
      </c>
      <c r="L91" s="49">
        <v>0</v>
      </c>
      <c r="M91" s="184"/>
      <c r="N91" s="189"/>
      <c r="O91" s="46"/>
      <c r="P91" s="46"/>
      <c r="Q91" s="46"/>
    </row>
    <row r="92" spans="1:17" ht="21" x14ac:dyDescent="0.25">
      <c r="A92" s="181">
        <v>15</v>
      </c>
      <c r="B92" s="188" t="s">
        <v>149</v>
      </c>
      <c r="C92" s="171" t="s">
        <v>146</v>
      </c>
      <c r="D92" s="171" t="s">
        <v>147</v>
      </c>
      <c r="E92" s="173">
        <f>G92+H92</f>
        <v>24714.799999999999</v>
      </c>
      <c r="F92" s="39" t="s">
        <v>6</v>
      </c>
      <c r="G92" s="50">
        <f>SUM(G93:G96)</f>
        <v>12357.4</v>
      </c>
      <c r="H92" s="44">
        <f t="shared" ref="H92:K92" si="23">SUM(H93:H96)</f>
        <v>12357.4</v>
      </c>
      <c r="I92" s="44">
        <f t="shared" si="23"/>
        <v>0</v>
      </c>
      <c r="J92" s="44">
        <f t="shared" si="23"/>
        <v>0</v>
      </c>
      <c r="K92" s="44">
        <f t="shared" si="23"/>
        <v>0</v>
      </c>
      <c r="L92" s="45">
        <f t="shared" si="16"/>
        <v>0</v>
      </c>
      <c r="M92" s="183">
        <v>0</v>
      </c>
      <c r="N92" s="189" t="s">
        <v>148</v>
      </c>
      <c r="O92" s="46"/>
      <c r="P92" s="46"/>
      <c r="Q92" s="46"/>
    </row>
    <row r="93" spans="1:17" x14ac:dyDescent="0.25">
      <c r="A93" s="182"/>
      <c r="B93" s="180"/>
      <c r="C93" s="172"/>
      <c r="D93" s="172"/>
      <c r="E93" s="174"/>
      <c r="F93" s="43" t="s">
        <v>8</v>
      </c>
      <c r="G93" s="47">
        <v>12357.4</v>
      </c>
      <c r="H93" s="40">
        <v>12357.4</v>
      </c>
      <c r="I93" s="40">
        <v>0</v>
      </c>
      <c r="J93" s="40">
        <v>0</v>
      </c>
      <c r="K93" s="40">
        <v>0</v>
      </c>
      <c r="L93" s="49">
        <f t="shared" si="16"/>
        <v>0</v>
      </c>
      <c r="M93" s="184"/>
      <c r="N93" s="189"/>
      <c r="O93" s="46"/>
      <c r="P93" s="46"/>
      <c r="Q93" s="46"/>
    </row>
    <row r="94" spans="1:17" x14ac:dyDescent="0.25">
      <c r="A94" s="182"/>
      <c r="B94" s="180"/>
      <c r="C94" s="172"/>
      <c r="D94" s="172"/>
      <c r="E94" s="174"/>
      <c r="F94" s="43" t="s">
        <v>9</v>
      </c>
      <c r="G94" s="47">
        <v>0</v>
      </c>
      <c r="H94" s="40">
        <v>0</v>
      </c>
      <c r="I94" s="40">
        <v>0</v>
      </c>
      <c r="J94" s="40">
        <v>0</v>
      </c>
      <c r="K94" s="40">
        <v>0</v>
      </c>
      <c r="L94" s="49">
        <v>0</v>
      </c>
      <c r="M94" s="184"/>
      <c r="N94" s="189"/>
      <c r="O94" s="46"/>
      <c r="P94" s="46"/>
      <c r="Q94" s="46"/>
    </row>
    <row r="95" spans="1:17" x14ac:dyDescent="0.25">
      <c r="A95" s="182"/>
      <c r="B95" s="180"/>
      <c r="C95" s="172"/>
      <c r="D95" s="172"/>
      <c r="E95" s="174"/>
      <c r="F95" s="43" t="s">
        <v>10</v>
      </c>
      <c r="G95" s="47">
        <v>0</v>
      </c>
      <c r="H95" s="40">
        <v>0</v>
      </c>
      <c r="I95" s="40">
        <v>0</v>
      </c>
      <c r="J95" s="40">
        <v>0</v>
      </c>
      <c r="K95" s="40">
        <v>0</v>
      </c>
      <c r="L95" s="49">
        <v>0</v>
      </c>
      <c r="M95" s="184"/>
      <c r="N95" s="189"/>
      <c r="O95" s="46"/>
      <c r="P95" s="46"/>
      <c r="Q95" s="46"/>
    </row>
    <row r="96" spans="1:17" x14ac:dyDescent="0.25">
      <c r="A96" s="182"/>
      <c r="B96" s="180"/>
      <c r="C96" s="172"/>
      <c r="D96" s="172"/>
      <c r="E96" s="174"/>
      <c r="F96" s="43" t="s">
        <v>11</v>
      </c>
      <c r="G96" s="47">
        <v>0</v>
      </c>
      <c r="H96" s="40">
        <v>0</v>
      </c>
      <c r="I96" s="40">
        <v>0</v>
      </c>
      <c r="J96" s="40">
        <v>0</v>
      </c>
      <c r="K96" s="40">
        <v>0</v>
      </c>
      <c r="L96" s="49">
        <v>0</v>
      </c>
      <c r="M96" s="184"/>
      <c r="N96" s="189"/>
      <c r="O96" s="46"/>
      <c r="P96" s="46"/>
      <c r="Q96" s="46"/>
    </row>
    <row r="97" spans="1:17" ht="21" x14ac:dyDescent="0.25">
      <c r="A97" s="181">
        <v>16</v>
      </c>
      <c r="B97" s="188" t="s">
        <v>150</v>
      </c>
      <c r="C97" s="171" t="s">
        <v>146</v>
      </c>
      <c r="D97" s="171" t="s">
        <v>147</v>
      </c>
      <c r="E97" s="173">
        <f>G97+H97</f>
        <v>18171.439999999999</v>
      </c>
      <c r="F97" s="39" t="s">
        <v>6</v>
      </c>
      <c r="G97" s="50">
        <f>SUM(G98:G101)</f>
        <v>9085.7199999999993</v>
      </c>
      <c r="H97" s="44">
        <f t="shared" ref="H97:K97" si="24">SUM(H98:H101)</f>
        <v>9085.7199999999993</v>
      </c>
      <c r="I97" s="44">
        <f t="shared" si="24"/>
        <v>0</v>
      </c>
      <c r="J97" s="44">
        <f t="shared" si="24"/>
        <v>0</v>
      </c>
      <c r="K97" s="44">
        <f t="shared" si="24"/>
        <v>0</v>
      </c>
      <c r="L97" s="45">
        <f t="shared" ref="L97:L106" si="25">IFERROR(J97/H97,0)</f>
        <v>0</v>
      </c>
      <c r="M97" s="183">
        <v>0</v>
      </c>
      <c r="N97" s="189" t="s">
        <v>148</v>
      </c>
      <c r="O97" s="46"/>
      <c r="P97" s="46"/>
      <c r="Q97" s="46"/>
    </row>
    <row r="98" spans="1:17" x14ac:dyDescent="0.25">
      <c r="A98" s="182"/>
      <c r="B98" s="180"/>
      <c r="C98" s="172"/>
      <c r="D98" s="172"/>
      <c r="E98" s="174"/>
      <c r="F98" s="43" t="s">
        <v>8</v>
      </c>
      <c r="G98" s="47">
        <v>9085.7199999999993</v>
      </c>
      <c r="H98" s="40">
        <v>9085.7199999999993</v>
      </c>
      <c r="I98" s="40">
        <v>0</v>
      </c>
      <c r="J98" s="40">
        <v>0</v>
      </c>
      <c r="K98" s="40">
        <v>0</v>
      </c>
      <c r="L98" s="49">
        <f t="shared" si="25"/>
        <v>0</v>
      </c>
      <c r="M98" s="184"/>
      <c r="N98" s="189"/>
      <c r="O98" s="46"/>
      <c r="P98" s="46"/>
      <c r="Q98" s="46"/>
    </row>
    <row r="99" spans="1:17" x14ac:dyDescent="0.25">
      <c r="A99" s="182"/>
      <c r="B99" s="180"/>
      <c r="C99" s="172"/>
      <c r="D99" s="172"/>
      <c r="E99" s="174"/>
      <c r="F99" s="43" t="s">
        <v>9</v>
      </c>
      <c r="G99" s="47">
        <v>0</v>
      </c>
      <c r="H99" s="40">
        <v>0</v>
      </c>
      <c r="I99" s="40">
        <v>0</v>
      </c>
      <c r="J99" s="40">
        <v>0</v>
      </c>
      <c r="K99" s="40">
        <v>0</v>
      </c>
      <c r="L99" s="49">
        <f t="shared" si="25"/>
        <v>0</v>
      </c>
      <c r="M99" s="184"/>
      <c r="N99" s="189"/>
      <c r="O99" s="46"/>
      <c r="P99" s="46"/>
      <c r="Q99" s="46"/>
    </row>
    <row r="100" spans="1:17" x14ac:dyDescent="0.25">
      <c r="A100" s="182"/>
      <c r="B100" s="180"/>
      <c r="C100" s="172"/>
      <c r="D100" s="172"/>
      <c r="E100" s="174"/>
      <c r="F100" s="43" t="s">
        <v>10</v>
      </c>
      <c r="G100" s="47">
        <v>0</v>
      </c>
      <c r="H100" s="40">
        <v>0</v>
      </c>
      <c r="I100" s="40">
        <v>0</v>
      </c>
      <c r="J100" s="40">
        <v>0</v>
      </c>
      <c r="K100" s="40">
        <v>0</v>
      </c>
      <c r="L100" s="49">
        <f t="shared" si="25"/>
        <v>0</v>
      </c>
      <c r="M100" s="184"/>
      <c r="N100" s="189"/>
      <c r="O100" s="46"/>
      <c r="P100" s="46"/>
      <c r="Q100" s="46"/>
    </row>
    <row r="101" spans="1:17" x14ac:dyDescent="0.25">
      <c r="A101" s="182"/>
      <c r="B101" s="180"/>
      <c r="C101" s="172"/>
      <c r="D101" s="172"/>
      <c r="E101" s="174"/>
      <c r="F101" s="43" t="s">
        <v>11</v>
      </c>
      <c r="G101" s="47">
        <v>0</v>
      </c>
      <c r="H101" s="40">
        <v>0</v>
      </c>
      <c r="I101" s="40">
        <v>0</v>
      </c>
      <c r="J101" s="40">
        <v>0</v>
      </c>
      <c r="K101" s="40">
        <v>0</v>
      </c>
      <c r="L101" s="49">
        <f t="shared" si="25"/>
        <v>0</v>
      </c>
      <c r="M101" s="184"/>
      <c r="N101" s="189"/>
      <c r="O101" s="46"/>
      <c r="P101" s="46"/>
      <c r="Q101" s="46"/>
    </row>
    <row r="102" spans="1:17" ht="21" x14ac:dyDescent="0.25">
      <c r="A102" s="181">
        <v>17</v>
      </c>
      <c r="B102" s="188" t="s">
        <v>151</v>
      </c>
      <c r="C102" s="171" t="s">
        <v>146</v>
      </c>
      <c r="D102" s="171" t="s">
        <v>147</v>
      </c>
      <c r="E102" s="173">
        <f>G102+H102</f>
        <v>16476.54</v>
      </c>
      <c r="F102" s="39" t="s">
        <v>6</v>
      </c>
      <c r="G102" s="50">
        <f>SUM(G103:G106)</f>
        <v>8238.27</v>
      </c>
      <c r="H102" s="44">
        <f t="shared" ref="H102:K102" si="26">SUM(H103:H106)</f>
        <v>8238.27</v>
      </c>
      <c r="I102" s="44">
        <f t="shared" si="26"/>
        <v>0</v>
      </c>
      <c r="J102" s="44">
        <f t="shared" si="26"/>
        <v>0</v>
      </c>
      <c r="K102" s="44">
        <f t="shared" si="26"/>
        <v>0</v>
      </c>
      <c r="L102" s="45">
        <f t="shared" si="25"/>
        <v>0</v>
      </c>
      <c r="M102" s="183">
        <v>0</v>
      </c>
      <c r="N102" s="189" t="s">
        <v>148</v>
      </c>
      <c r="O102" s="46"/>
      <c r="P102" s="46"/>
      <c r="Q102" s="46"/>
    </row>
    <row r="103" spans="1:17" x14ac:dyDescent="0.25">
      <c r="A103" s="182"/>
      <c r="B103" s="180"/>
      <c r="C103" s="172"/>
      <c r="D103" s="172"/>
      <c r="E103" s="174"/>
      <c r="F103" s="43" t="s">
        <v>8</v>
      </c>
      <c r="G103" s="47">
        <v>8238.27</v>
      </c>
      <c r="H103" s="40">
        <v>8238.27</v>
      </c>
      <c r="I103" s="40">
        <v>0</v>
      </c>
      <c r="J103" s="40">
        <v>0</v>
      </c>
      <c r="K103" s="40">
        <v>0</v>
      </c>
      <c r="L103" s="49">
        <f t="shared" si="25"/>
        <v>0</v>
      </c>
      <c r="M103" s="184"/>
      <c r="N103" s="189"/>
      <c r="O103" s="46"/>
      <c r="P103" s="46"/>
      <c r="Q103" s="46"/>
    </row>
    <row r="104" spans="1:17" x14ac:dyDescent="0.25">
      <c r="A104" s="182"/>
      <c r="B104" s="180"/>
      <c r="C104" s="172"/>
      <c r="D104" s="172"/>
      <c r="E104" s="174"/>
      <c r="F104" s="43" t="s">
        <v>9</v>
      </c>
      <c r="G104" s="47">
        <v>0</v>
      </c>
      <c r="H104" s="40">
        <v>0</v>
      </c>
      <c r="I104" s="40">
        <v>0</v>
      </c>
      <c r="J104" s="40">
        <v>0</v>
      </c>
      <c r="K104" s="40">
        <v>0</v>
      </c>
      <c r="L104" s="49">
        <f t="shared" si="25"/>
        <v>0</v>
      </c>
      <c r="M104" s="184"/>
      <c r="N104" s="189"/>
      <c r="O104" s="46"/>
      <c r="P104" s="46"/>
      <c r="Q104" s="46"/>
    </row>
    <row r="105" spans="1:17" x14ac:dyDescent="0.25">
      <c r="A105" s="182"/>
      <c r="B105" s="180"/>
      <c r="C105" s="172"/>
      <c r="D105" s="172"/>
      <c r="E105" s="174"/>
      <c r="F105" s="43" t="s">
        <v>10</v>
      </c>
      <c r="G105" s="47">
        <v>0</v>
      </c>
      <c r="H105" s="40">
        <v>0</v>
      </c>
      <c r="I105" s="40">
        <v>0</v>
      </c>
      <c r="J105" s="40">
        <v>0</v>
      </c>
      <c r="K105" s="40">
        <v>0</v>
      </c>
      <c r="L105" s="49">
        <f t="shared" si="25"/>
        <v>0</v>
      </c>
      <c r="M105" s="184"/>
      <c r="N105" s="189"/>
      <c r="O105" s="46"/>
      <c r="P105" s="46"/>
      <c r="Q105" s="46"/>
    </row>
    <row r="106" spans="1:17" x14ac:dyDescent="0.25">
      <c r="A106" s="182"/>
      <c r="B106" s="201"/>
      <c r="C106" s="202"/>
      <c r="D106" s="202"/>
      <c r="E106" s="203"/>
      <c r="F106" s="43" t="s">
        <v>11</v>
      </c>
      <c r="G106" s="47">
        <v>0</v>
      </c>
      <c r="H106" s="40">
        <v>0</v>
      </c>
      <c r="I106" s="40">
        <v>0</v>
      </c>
      <c r="J106" s="40">
        <v>0</v>
      </c>
      <c r="K106" s="40">
        <v>0</v>
      </c>
      <c r="L106" s="49">
        <f t="shared" si="25"/>
        <v>0</v>
      </c>
      <c r="M106" s="184"/>
      <c r="N106" s="189"/>
      <c r="O106" s="46"/>
      <c r="P106" s="46"/>
      <c r="Q106" s="46"/>
    </row>
    <row r="107" spans="1:17" ht="21" x14ac:dyDescent="0.25">
      <c r="A107" s="190" t="s">
        <v>39</v>
      </c>
      <c r="B107" s="191"/>
      <c r="C107" s="191"/>
      <c r="D107" s="191"/>
      <c r="E107" s="191"/>
      <c r="F107" s="34" t="s">
        <v>6</v>
      </c>
      <c r="G107" s="35">
        <f>SUM(G108:G111)</f>
        <v>1182134.1999999997</v>
      </c>
      <c r="H107" s="52">
        <f>SUM(H108:H111)</f>
        <v>916606.5</v>
      </c>
      <c r="I107" s="35">
        <f>SUM(I108:I111)</f>
        <v>58928.5</v>
      </c>
      <c r="J107" s="35">
        <f>SUM(J108:J111)</f>
        <v>58928.5</v>
      </c>
      <c r="K107" s="35">
        <f>SUM(K108:K111)</f>
        <v>9125.7999999999993</v>
      </c>
      <c r="L107" s="36">
        <f t="shared" ref="L107:L110" si="27">J107/H107</f>
        <v>6.4289856116010527E-2</v>
      </c>
      <c r="M107" s="192"/>
      <c r="N107" s="193"/>
      <c r="O107" s="31"/>
      <c r="P107" s="31"/>
      <c r="Q107" s="31"/>
    </row>
    <row r="108" spans="1:17" x14ac:dyDescent="0.25">
      <c r="A108" s="191"/>
      <c r="B108" s="191"/>
      <c r="C108" s="191"/>
      <c r="D108" s="191"/>
      <c r="E108" s="191"/>
      <c r="F108" s="34" t="s">
        <v>108</v>
      </c>
      <c r="G108" s="35">
        <f>G114+G119+G124+G129</f>
        <v>513906</v>
      </c>
      <c r="H108" s="35">
        <f>H114+H119+H124+H129</f>
        <v>916021.4</v>
      </c>
      <c r="I108" s="35">
        <f>I124+I129</f>
        <v>58343.4</v>
      </c>
      <c r="J108" s="35">
        <f>J124+J129</f>
        <v>58343.4</v>
      </c>
      <c r="K108" s="35">
        <f>K124</f>
        <v>9125.7999999999993</v>
      </c>
      <c r="L108" s="36">
        <f t="shared" si="27"/>
        <v>6.3692180117189398E-2</v>
      </c>
      <c r="M108" s="192"/>
      <c r="N108" s="193"/>
      <c r="O108" s="31"/>
      <c r="P108" s="31"/>
      <c r="Q108" s="31"/>
    </row>
    <row r="109" spans="1:17" x14ac:dyDescent="0.25">
      <c r="A109" s="191"/>
      <c r="B109" s="191"/>
      <c r="C109" s="191"/>
      <c r="D109" s="191"/>
      <c r="E109" s="191"/>
      <c r="F109" s="34" t="s">
        <v>109</v>
      </c>
      <c r="G109" s="35">
        <f>G115+G120+G125+G130</f>
        <v>667428.29999999993</v>
      </c>
      <c r="H109" s="35">
        <v>0</v>
      </c>
      <c r="I109" s="35">
        <v>0</v>
      </c>
      <c r="J109" s="35">
        <v>0</v>
      </c>
      <c r="K109" s="35">
        <v>0</v>
      </c>
      <c r="L109" s="36">
        <v>0</v>
      </c>
      <c r="M109" s="192"/>
      <c r="N109" s="193"/>
      <c r="O109" s="31"/>
      <c r="P109" s="31"/>
      <c r="Q109" s="31"/>
    </row>
    <row r="110" spans="1:17" x14ac:dyDescent="0.25">
      <c r="A110" s="191"/>
      <c r="B110" s="191"/>
      <c r="C110" s="191"/>
      <c r="D110" s="191"/>
      <c r="E110" s="191"/>
      <c r="F110" s="34" t="s">
        <v>10</v>
      </c>
      <c r="G110" s="35">
        <f>G131</f>
        <v>799.9</v>
      </c>
      <c r="H110" s="35">
        <f>H131</f>
        <v>585.1</v>
      </c>
      <c r="I110" s="35">
        <f>I131</f>
        <v>585.1</v>
      </c>
      <c r="J110" s="35">
        <f>J131</f>
        <v>585.1</v>
      </c>
      <c r="K110" s="35">
        <v>0</v>
      </c>
      <c r="L110" s="36">
        <f t="shared" si="27"/>
        <v>1</v>
      </c>
      <c r="M110" s="192"/>
      <c r="N110" s="193"/>
      <c r="O110" s="31"/>
      <c r="P110" s="31"/>
      <c r="Q110" s="31"/>
    </row>
    <row r="111" spans="1:17" x14ac:dyDescent="0.25">
      <c r="A111" s="191"/>
      <c r="B111" s="191"/>
      <c r="C111" s="191"/>
      <c r="D111" s="191"/>
      <c r="E111" s="191"/>
      <c r="F111" s="34" t="s">
        <v>11</v>
      </c>
      <c r="G111" s="35">
        <v>0</v>
      </c>
      <c r="H111" s="35">
        <v>0</v>
      </c>
      <c r="I111" s="35">
        <v>0</v>
      </c>
      <c r="J111" s="35">
        <v>0</v>
      </c>
      <c r="K111" s="35">
        <v>0</v>
      </c>
      <c r="L111" s="36">
        <v>0</v>
      </c>
      <c r="M111" s="192"/>
      <c r="N111" s="193"/>
      <c r="O111" s="31"/>
      <c r="P111" s="31"/>
      <c r="Q111" s="31"/>
    </row>
    <row r="112" spans="1:17" x14ac:dyDescent="0.25">
      <c r="A112" s="139" t="s">
        <v>152</v>
      </c>
      <c r="B112" s="139"/>
      <c r="C112" s="139"/>
      <c r="D112" s="139"/>
      <c r="E112" s="139"/>
      <c r="F112" s="139"/>
      <c r="G112" s="139"/>
      <c r="H112" s="139"/>
      <c r="I112" s="139"/>
      <c r="J112" s="139"/>
      <c r="K112" s="139"/>
      <c r="L112" s="139"/>
      <c r="M112" s="139"/>
      <c r="N112" s="139"/>
      <c r="O112" s="31"/>
      <c r="P112" s="31"/>
      <c r="Q112" s="31"/>
    </row>
    <row r="113" spans="1:17" ht="21" x14ac:dyDescent="0.25">
      <c r="A113" s="160">
        <v>18</v>
      </c>
      <c r="B113" s="194" t="s">
        <v>153</v>
      </c>
      <c r="C113" s="141" t="s">
        <v>154</v>
      </c>
      <c r="D113" s="160" t="s">
        <v>155</v>
      </c>
      <c r="E113" s="198">
        <v>2269859.2000000002</v>
      </c>
      <c r="F113" s="53" t="s">
        <v>6</v>
      </c>
      <c r="G113" s="54">
        <f>SUM(G114:G117)</f>
        <v>157610</v>
      </c>
      <c r="H113" s="54">
        <f t="shared" ref="H113:K113" si="28">SUM(H114:H117)</f>
        <v>92170</v>
      </c>
      <c r="I113" s="54">
        <f t="shared" si="28"/>
        <v>0</v>
      </c>
      <c r="J113" s="54">
        <f t="shared" si="28"/>
        <v>0</v>
      </c>
      <c r="K113" s="54">
        <f t="shared" si="28"/>
        <v>0</v>
      </c>
      <c r="L113" s="55">
        <f t="shared" ref="L113:L117" si="29">IFERROR(J113/H113,0)</f>
        <v>0</v>
      </c>
      <c r="M113" s="204">
        <v>6.9000000000000006E-2</v>
      </c>
      <c r="N113" s="205" t="s">
        <v>156</v>
      </c>
      <c r="O113" s="31"/>
      <c r="P113" s="31"/>
      <c r="Q113" s="31"/>
    </row>
    <row r="114" spans="1:17" x14ac:dyDescent="0.25">
      <c r="A114" s="161"/>
      <c r="B114" s="194"/>
      <c r="C114" s="195"/>
      <c r="D114" s="196"/>
      <c r="E114" s="199"/>
      <c r="F114" s="56" t="s">
        <v>108</v>
      </c>
      <c r="G114" s="57">
        <v>92170</v>
      </c>
      <c r="H114" s="57">
        <v>92170</v>
      </c>
      <c r="I114" s="57">
        <v>0</v>
      </c>
      <c r="J114" s="57">
        <v>0</v>
      </c>
      <c r="K114" s="57">
        <v>0</v>
      </c>
      <c r="L114" s="58">
        <f t="shared" si="29"/>
        <v>0</v>
      </c>
      <c r="M114" s="196"/>
      <c r="N114" s="206"/>
      <c r="O114" s="31"/>
      <c r="P114" s="31"/>
      <c r="Q114" s="31"/>
    </row>
    <row r="115" spans="1:17" x14ac:dyDescent="0.25">
      <c r="A115" s="161"/>
      <c r="B115" s="194"/>
      <c r="C115" s="195"/>
      <c r="D115" s="196"/>
      <c r="E115" s="199"/>
      <c r="F115" s="56" t="s">
        <v>109</v>
      </c>
      <c r="G115" s="57">
        <v>65440</v>
      </c>
      <c r="H115" s="57">
        <v>0</v>
      </c>
      <c r="I115" s="57">
        <v>0</v>
      </c>
      <c r="J115" s="57">
        <v>0</v>
      </c>
      <c r="K115" s="57">
        <v>0</v>
      </c>
      <c r="L115" s="58">
        <f t="shared" si="29"/>
        <v>0</v>
      </c>
      <c r="M115" s="196"/>
      <c r="N115" s="206"/>
      <c r="O115" s="31"/>
      <c r="P115" s="31"/>
      <c r="Q115" s="31"/>
    </row>
    <row r="116" spans="1:17" x14ac:dyDescent="0.25">
      <c r="A116" s="161"/>
      <c r="B116" s="194"/>
      <c r="C116" s="195"/>
      <c r="D116" s="196"/>
      <c r="E116" s="199"/>
      <c r="F116" s="56" t="s">
        <v>10</v>
      </c>
      <c r="G116" s="57">
        <v>0</v>
      </c>
      <c r="H116" s="57">
        <v>0</v>
      </c>
      <c r="I116" s="57">
        <v>0</v>
      </c>
      <c r="J116" s="57">
        <v>0</v>
      </c>
      <c r="K116" s="57">
        <v>0</v>
      </c>
      <c r="L116" s="58">
        <f t="shared" si="29"/>
        <v>0</v>
      </c>
      <c r="M116" s="196"/>
      <c r="N116" s="206"/>
      <c r="O116" s="31"/>
      <c r="P116" s="31"/>
      <c r="Q116" s="31"/>
    </row>
    <row r="117" spans="1:17" x14ac:dyDescent="0.25">
      <c r="A117" s="162"/>
      <c r="B117" s="194"/>
      <c r="C117" s="195"/>
      <c r="D117" s="197"/>
      <c r="E117" s="200"/>
      <c r="F117" s="56" t="s">
        <v>11</v>
      </c>
      <c r="G117" s="57">
        <v>0</v>
      </c>
      <c r="H117" s="57">
        <v>0</v>
      </c>
      <c r="I117" s="57">
        <v>0</v>
      </c>
      <c r="J117" s="57">
        <v>0</v>
      </c>
      <c r="K117" s="57">
        <v>0</v>
      </c>
      <c r="L117" s="58">
        <f t="shared" si="29"/>
        <v>0</v>
      </c>
      <c r="M117" s="197"/>
      <c r="N117" s="207"/>
      <c r="O117" s="31"/>
      <c r="P117" s="31"/>
      <c r="Q117" s="31"/>
    </row>
    <row r="118" spans="1:17" ht="21" x14ac:dyDescent="0.25">
      <c r="A118" s="160">
        <v>19</v>
      </c>
      <c r="B118" s="208" t="s">
        <v>157</v>
      </c>
      <c r="C118" s="160" t="s">
        <v>154</v>
      </c>
      <c r="D118" s="160" t="s">
        <v>155</v>
      </c>
      <c r="E118" s="211">
        <v>1771548.1</v>
      </c>
      <c r="F118" s="53" t="s">
        <v>6</v>
      </c>
      <c r="G118" s="54">
        <f>SUM(G119:G122)</f>
        <v>126767.29999999999</v>
      </c>
      <c r="H118" s="54">
        <f t="shared" ref="H118:L118" si="30">SUM(H119:H122)</f>
        <v>520123.5</v>
      </c>
      <c r="I118" s="54">
        <f t="shared" si="30"/>
        <v>0</v>
      </c>
      <c r="J118" s="54">
        <f t="shared" si="30"/>
        <v>0</v>
      </c>
      <c r="K118" s="54">
        <f t="shared" si="30"/>
        <v>0</v>
      </c>
      <c r="L118" s="54">
        <f t="shared" si="30"/>
        <v>0</v>
      </c>
      <c r="M118" s="204">
        <v>7.1999999999999995E-2</v>
      </c>
      <c r="N118" s="205" t="s">
        <v>158</v>
      </c>
      <c r="O118" s="31"/>
      <c r="P118" s="31"/>
      <c r="Q118" s="31"/>
    </row>
    <row r="119" spans="1:17" x14ac:dyDescent="0.25">
      <c r="A119" s="161"/>
      <c r="B119" s="209"/>
      <c r="C119" s="161"/>
      <c r="D119" s="161"/>
      <c r="E119" s="199"/>
      <c r="F119" s="56" t="s">
        <v>108</v>
      </c>
      <c r="G119" s="57">
        <v>75364.2</v>
      </c>
      <c r="H119" s="57">
        <v>520123.5</v>
      </c>
      <c r="I119" s="57">
        <v>0</v>
      </c>
      <c r="J119" s="57">
        <v>0</v>
      </c>
      <c r="K119" s="57">
        <v>0</v>
      </c>
      <c r="L119" s="57">
        <v>0</v>
      </c>
      <c r="M119" s="196"/>
      <c r="N119" s="206"/>
      <c r="O119" s="31"/>
      <c r="P119" s="31"/>
      <c r="Q119" s="31"/>
    </row>
    <row r="120" spans="1:17" x14ac:dyDescent="0.25">
      <c r="A120" s="161"/>
      <c r="B120" s="209"/>
      <c r="C120" s="161"/>
      <c r="D120" s="161"/>
      <c r="E120" s="199"/>
      <c r="F120" s="56" t="s">
        <v>109</v>
      </c>
      <c r="G120" s="57">
        <v>51403.1</v>
      </c>
      <c r="H120" s="57">
        <v>0</v>
      </c>
      <c r="I120" s="57">
        <v>0</v>
      </c>
      <c r="J120" s="57">
        <v>0</v>
      </c>
      <c r="K120" s="57">
        <v>0</v>
      </c>
      <c r="L120" s="57">
        <v>0</v>
      </c>
      <c r="M120" s="196"/>
      <c r="N120" s="206"/>
      <c r="O120" s="31"/>
      <c r="P120" s="31"/>
      <c r="Q120" s="31"/>
    </row>
    <row r="121" spans="1:17" x14ac:dyDescent="0.25">
      <c r="A121" s="161"/>
      <c r="B121" s="209"/>
      <c r="C121" s="161"/>
      <c r="D121" s="161"/>
      <c r="E121" s="199"/>
      <c r="F121" s="56" t="s">
        <v>10</v>
      </c>
      <c r="G121" s="57">
        <v>0</v>
      </c>
      <c r="H121" s="57">
        <v>0</v>
      </c>
      <c r="I121" s="57">
        <v>0</v>
      </c>
      <c r="J121" s="57">
        <v>0</v>
      </c>
      <c r="K121" s="57">
        <v>0</v>
      </c>
      <c r="L121" s="57">
        <v>0</v>
      </c>
      <c r="M121" s="196"/>
      <c r="N121" s="206"/>
      <c r="O121" s="31"/>
      <c r="P121" s="31"/>
      <c r="Q121" s="31"/>
    </row>
    <row r="122" spans="1:17" x14ac:dyDescent="0.25">
      <c r="A122" s="162"/>
      <c r="B122" s="210"/>
      <c r="C122" s="162"/>
      <c r="D122" s="162"/>
      <c r="E122" s="200"/>
      <c r="F122" s="56" t="s">
        <v>11</v>
      </c>
      <c r="G122" s="57">
        <v>0</v>
      </c>
      <c r="H122" s="57">
        <v>0</v>
      </c>
      <c r="I122" s="57">
        <v>0</v>
      </c>
      <c r="J122" s="57">
        <v>0</v>
      </c>
      <c r="K122" s="57">
        <v>0</v>
      </c>
      <c r="L122" s="57">
        <v>0</v>
      </c>
      <c r="M122" s="197"/>
      <c r="N122" s="207"/>
      <c r="O122" s="31"/>
      <c r="P122" s="31"/>
      <c r="Q122" s="31"/>
    </row>
    <row r="123" spans="1:17" ht="21" x14ac:dyDescent="0.25">
      <c r="A123" s="160">
        <v>20</v>
      </c>
      <c r="B123" s="212" t="s">
        <v>159</v>
      </c>
      <c r="C123" s="160" t="s">
        <v>160</v>
      </c>
      <c r="D123" s="160" t="s">
        <v>161</v>
      </c>
      <c r="E123" s="211">
        <v>1131421.8999999999</v>
      </c>
      <c r="F123" s="53" t="s">
        <v>6</v>
      </c>
      <c r="G123" s="54">
        <f>SUM(G124:G127)</f>
        <v>817772.89999999991</v>
      </c>
      <c r="H123" s="54">
        <f t="shared" ref="H123:L123" si="31">SUM(H124:H127)</f>
        <v>245804.5</v>
      </c>
      <c r="I123" s="54">
        <f t="shared" si="31"/>
        <v>420</v>
      </c>
      <c r="J123" s="54">
        <f t="shared" si="31"/>
        <v>420</v>
      </c>
      <c r="K123" s="54">
        <f t="shared" si="31"/>
        <v>9125.7999999999993</v>
      </c>
      <c r="L123" s="54">
        <f t="shared" si="31"/>
        <v>0</v>
      </c>
      <c r="M123" s="204">
        <v>0.29299999999999998</v>
      </c>
      <c r="N123" s="205" t="s">
        <v>162</v>
      </c>
      <c r="O123" s="31"/>
      <c r="P123" s="31"/>
      <c r="Q123" s="31"/>
    </row>
    <row r="124" spans="1:17" x14ac:dyDescent="0.25">
      <c r="A124" s="161"/>
      <c r="B124" s="213"/>
      <c r="C124" s="161"/>
      <c r="D124" s="161"/>
      <c r="E124" s="199"/>
      <c r="F124" s="56" t="s">
        <v>108</v>
      </c>
      <c r="G124" s="57">
        <f>16680.6+250507.1</f>
        <v>267187.7</v>
      </c>
      <c r="H124" s="57">
        <v>245804.5</v>
      </c>
      <c r="I124" s="57">
        <v>420</v>
      </c>
      <c r="J124" s="57">
        <f>I124</f>
        <v>420</v>
      </c>
      <c r="K124" s="57">
        <f>7756.9+1368.9</f>
        <v>9125.7999999999993</v>
      </c>
      <c r="L124" s="57">
        <v>0</v>
      </c>
      <c r="M124" s="196"/>
      <c r="N124" s="206"/>
      <c r="O124" s="31"/>
      <c r="P124" s="31"/>
      <c r="Q124" s="31"/>
    </row>
    <row r="125" spans="1:17" x14ac:dyDescent="0.25">
      <c r="A125" s="161"/>
      <c r="B125" s="213"/>
      <c r="C125" s="161"/>
      <c r="D125" s="161"/>
      <c r="E125" s="199"/>
      <c r="F125" s="56" t="s">
        <v>109</v>
      </c>
      <c r="G125" s="57">
        <f>180476.6+370108.6</f>
        <v>550585.19999999995</v>
      </c>
      <c r="H125" s="57">
        <v>0</v>
      </c>
      <c r="I125" s="57">
        <v>0</v>
      </c>
      <c r="J125" s="57">
        <v>0</v>
      </c>
      <c r="K125" s="57">
        <v>0</v>
      </c>
      <c r="L125" s="57">
        <v>0</v>
      </c>
      <c r="M125" s="196"/>
      <c r="N125" s="206"/>
      <c r="O125" s="31"/>
      <c r="P125" s="31"/>
      <c r="Q125" s="31"/>
    </row>
    <row r="126" spans="1:17" x14ac:dyDescent="0.25">
      <c r="A126" s="161"/>
      <c r="B126" s="213"/>
      <c r="C126" s="161"/>
      <c r="D126" s="161"/>
      <c r="E126" s="199"/>
      <c r="F126" s="56" t="s">
        <v>10</v>
      </c>
      <c r="G126" s="57">
        <v>0</v>
      </c>
      <c r="H126" s="57">
        <v>0</v>
      </c>
      <c r="I126" s="57">
        <v>0</v>
      </c>
      <c r="J126" s="57">
        <v>0</v>
      </c>
      <c r="K126" s="57">
        <v>0</v>
      </c>
      <c r="L126" s="57">
        <v>0</v>
      </c>
      <c r="M126" s="196"/>
      <c r="N126" s="206"/>
      <c r="O126" s="31"/>
      <c r="P126" s="31"/>
      <c r="Q126" s="31"/>
    </row>
    <row r="127" spans="1:17" x14ac:dyDescent="0.25">
      <c r="A127" s="162"/>
      <c r="B127" s="214"/>
      <c r="C127" s="162"/>
      <c r="D127" s="162"/>
      <c r="E127" s="200"/>
      <c r="F127" s="56" t="s">
        <v>11</v>
      </c>
      <c r="G127" s="57">
        <v>0</v>
      </c>
      <c r="H127" s="57">
        <v>0</v>
      </c>
      <c r="I127" s="57">
        <v>0</v>
      </c>
      <c r="J127" s="57">
        <v>0</v>
      </c>
      <c r="K127" s="57">
        <v>0</v>
      </c>
      <c r="L127" s="57">
        <v>0</v>
      </c>
      <c r="M127" s="197"/>
      <c r="N127" s="207"/>
      <c r="O127" s="31"/>
      <c r="P127" s="31"/>
      <c r="Q127" s="31"/>
    </row>
    <row r="128" spans="1:17" ht="21" x14ac:dyDescent="0.25">
      <c r="A128" s="160">
        <v>21</v>
      </c>
      <c r="B128" s="208" t="s">
        <v>163</v>
      </c>
      <c r="C128" s="160" t="s">
        <v>164</v>
      </c>
      <c r="D128" s="160" t="s">
        <v>165</v>
      </c>
      <c r="E128" s="211">
        <v>138492.4</v>
      </c>
      <c r="F128" s="53" t="s">
        <v>6</v>
      </c>
      <c r="G128" s="54">
        <f>SUM(G129:G132)</f>
        <v>79984</v>
      </c>
      <c r="H128" s="54">
        <f t="shared" ref="H128:L128" si="32">SUM(H129:H132)</f>
        <v>58508.5</v>
      </c>
      <c r="I128" s="54">
        <f t="shared" si="32"/>
        <v>58508.5</v>
      </c>
      <c r="J128" s="54">
        <f t="shared" si="32"/>
        <v>58508.5</v>
      </c>
      <c r="K128" s="54">
        <f t="shared" si="32"/>
        <v>0</v>
      </c>
      <c r="L128" s="54">
        <f t="shared" si="32"/>
        <v>0</v>
      </c>
      <c r="M128" s="204">
        <v>1</v>
      </c>
      <c r="N128" s="205" t="s">
        <v>166</v>
      </c>
      <c r="O128" s="31"/>
      <c r="P128" s="31"/>
      <c r="Q128" s="31"/>
    </row>
    <row r="129" spans="1:17" x14ac:dyDescent="0.25">
      <c r="A129" s="161"/>
      <c r="B129" s="209"/>
      <c r="C129" s="161"/>
      <c r="D129" s="161"/>
      <c r="E129" s="199"/>
      <c r="F129" s="56" t="s">
        <v>108</v>
      </c>
      <c r="G129" s="57">
        <f>20452.7+58731.4</f>
        <v>79184.100000000006</v>
      </c>
      <c r="H129" s="57">
        <v>57923.4</v>
      </c>
      <c r="I129" s="57">
        <v>57923.4</v>
      </c>
      <c r="J129" s="57">
        <f>I129</f>
        <v>57923.4</v>
      </c>
      <c r="K129" s="57">
        <v>0</v>
      </c>
      <c r="L129" s="57">
        <v>0</v>
      </c>
      <c r="M129" s="196"/>
      <c r="N129" s="206"/>
      <c r="O129" s="31"/>
      <c r="P129" s="31"/>
      <c r="Q129" s="31"/>
    </row>
    <row r="130" spans="1:17" x14ac:dyDescent="0.25">
      <c r="A130" s="161"/>
      <c r="B130" s="209"/>
      <c r="C130" s="161"/>
      <c r="D130" s="161"/>
      <c r="E130" s="199"/>
      <c r="F130" s="56" t="s">
        <v>109</v>
      </c>
      <c r="G130" s="57">
        <v>0</v>
      </c>
      <c r="H130" s="57">
        <v>0</v>
      </c>
      <c r="I130" s="57">
        <v>0</v>
      </c>
      <c r="J130" s="57">
        <v>0</v>
      </c>
      <c r="K130" s="57">
        <v>0</v>
      </c>
      <c r="L130" s="57">
        <v>0</v>
      </c>
      <c r="M130" s="196"/>
      <c r="N130" s="206"/>
      <c r="O130" s="31"/>
      <c r="P130" s="31"/>
      <c r="Q130" s="31"/>
    </row>
    <row r="131" spans="1:17" x14ac:dyDescent="0.25">
      <c r="A131" s="161"/>
      <c r="B131" s="209"/>
      <c r="C131" s="161"/>
      <c r="D131" s="161"/>
      <c r="E131" s="199"/>
      <c r="F131" s="56" t="s">
        <v>10</v>
      </c>
      <c r="G131" s="57">
        <f>206.6+593.3</f>
        <v>799.9</v>
      </c>
      <c r="H131" s="57">
        <v>585.1</v>
      </c>
      <c r="I131" s="57">
        <v>585.1</v>
      </c>
      <c r="J131" s="57">
        <f>I131</f>
        <v>585.1</v>
      </c>
      <c r="K131" s="57">
        <v>0</v>
      </c>
      <c r="L131" s="57">
        <v>0</v>
      </c>
      <c r="M131" s="196"/>
      <c r="N131" s="206"/>
      <c r="O131" s="31"/>
      <c r="P131" s="31"/>
      <c r="Q131" s="31"/>
    </row>
    <row r="132" spans="1:17" x14ac:dyDescent="0.25">
      <c r="A132" s="162"/>
      <c r="B132" s="210"/>
      <c r="C132" s="162"/>
      <c r="D132" s="162"/>
      <c r="E132" s="200"/>
      <c r="F132" s="56" t="s">
        <v>11</v>
      </c>
      <c r="G132" s="57">
        <v>0</v>
      </c>
      <c r="H132" s="57">
        <v>0</v>
      </c>
      <c r="I132" s="57">
        <v>0</v>
      </c>
      <c r="J132" s="57">
        <v>0</v>
      </c>
      <c r="K132" s="57">
        <v>0</v>
      </c>
      <c r="L132" s="57">
        <v>0</v>
      </c>
      <c r="M132" s="197"/>
      <c r="N132" s="207"/>
      <c r="O132" s="31"/>
      <c r="P132" s="31"/>
      <c r="Q132" s="31"/>
    </row>
    <row r="133" spans="1:17" ht="21" x14ac:dyDescent="0.25">
      <c r="A133" s="190" t="s">
        <v>41</v>
      </c>
      <c r="B133" s="190"/>
      <c r="C133" s="190"/>
      <c r="D133" s="190"/>
      <c r="E133" s="190"/>
      <c r="F133" s="34" t="s">
        <v>6</v>
      </c>
      <c r="G133" s="35">
        <f>SUM(G134:G137)</f>
        <v>1283560.8</v>
      </c>
      <c r="H133" s="35">
        <f>SUM(H134:H137)</f>
        <v>458267.64558999997</v>
      </c>
      <c r="I133" s="35">
        <f>SUM(I134:I137)</f>
        <v>96036.964250000005</v>
      </c>
      <c r="J133" s="35">
        <f>SUM(J134:J137)</f>
        <v>63601.164249999994</v>
      </c>
      <c r="K133" s="35">
        <f>SUM(K134:K136)</f>
        <v>24819.090700000001</v>
      </c>
      <c r="L133" s="36">
        <f>J133/H133</f>
        <v>0.1387860671859481</v>
      </c>
      <c r="M133" s="192"/>
      <c r="N133" s="225"/>
      <c r="O133" s="31"/>
      <c r="P133" s="31"/>
      <c r="Q133" s="31"/>
    </row>
    <row r="134" spans="1:17" x14ac:dyDescent="0.25">
      <c r="A134" s="190"/>
      <c r="B134" s="190"/>
      <c r="C134" s="190"/>
      <c r="D134" s="190"/>
      <c r="E134" s="190"/>
      <c r="F134" s="34" t="s">
        <v>108</v>
      </c>
      <c r="G134" s="35">
        <f>SUM(G140+G145+G150)</f>
        <v>716817.10000000009</v>
      </c>
      <c r="H134" s="35">
        <f>SUM(H140+H145+H150)</f>
        <v>240210.15557999999</v>
      </c>
      <c r="I134" s="35">
        <f>I145+I150</f>
        <v>54414.201960000006</v>
      </c>
      <c r="J134" s="35">
        <f>J145+J150</f>
        <v>27605.60196</v>
      </c>
      <c r="K134" s="35">
        <f>K150</f>
        <v>22.122509999999998</v>
      </c>
      <c r="L134" s="36">
        <f>J134/H134</f>
        <v>0.11492270963042686</v>
      </c>
      <c r="M134" s="192"/>
      <c r="N134" s="225"/>
      <c r="O134" s="31"/>
      <c r="P134" s="31"/>
      <c r="Q134" s="31"/>
    </row>
    <row r="135" spans="1:17" x14ac:dyDescent="0.25">
      <c r="A135" s="190"/>
      <c r="B135" s="190"/>
      <c r="C135" s="190"/>
      <c r="D135" s="190"/>
      <c r="E135" s="190"/>
      <c r="F135" s="34" t="s">
        <v>9</v>
      </c>
      <c r="G135" s="35">
        <f>G151</f>
        <v>213646.2</v>
      </c>
      <c r="H135" s="35">
        <f>SUM(H151)</f>
        <v>179314.8</v>
      </c>
      <c r="I135" s="35">
        <f>I151</f>
        <v>30506.462289999999</v>
      </c>
      <c r="J135" s="35">
        <f>J151</f>
        <v>30506.462289999999</v>
      </c>
      <c r="K135" s="35">
        <f>K151</f>
        <v>24796.96819</v>
      </c>
      <c r="L135" s="36">
        <v>0</v>
      </c>
      <c r="M135" s="192"/>
      <c r="N135" s="225"/>
      <c r="O135" s="31"/>
      <c r="P135" s="31"/>
      <c r="Q135" s="31"/>
    </row>
    <row r="136" spans="1:17" x14ac:dyDescent="0.25">
      <c r="A136" s="190"/>
      <c r="B136" s="190"/>
      <c r="C136" s="190"/>
      <c r="D136" s="190"/>
      <c r="E136" s="190"/>
      <c r="F136" s="34" t="s">
        <v>10</v>
      </c>
      <c r="G136" s="35">
        <f>G147+G152</f>
        <v>335097.5</v>
      </c>
      <c r="H136" s="35">
        <f>H147</f>
        <v>38742.690009999998</v>
      </c>
      <c r="I136" s="35">
        <f>I147</f>
        <v>11116.3</v>
      </c>
      <c r="J136" s="35">
        <f>J147</f>
        <v>5489.1</v>
      </c>
      <c r="K136" s="35">
        <v>0</v>
      </c>
      <c r="L136" s="36">
        <f>J136/H136</f>
        <v>0.14168092093200527</v>
      </c>
      <c r="M136" s="192"/>
      <c r="N136" s="225"/>
      <c r="O136" s="31"/>
      <c r="P136" s="31"/>
      <c r="Q136" s="31"/>
    </row>
    <row r="137" spans="1:17" x14ac:dyDescent="0.25">
      <c r="A137" s="190"/>
      <c r="B137" s="190"/>
      <c r="C137" s="190"/>
      <c r="D137" s="190"/>
      <c r="E137" s="190"/>
      <c r="F137" s="34" t="s">
        <v>11</v>
      </c>
      <c r="G137" s="35">
        <f>G148</f>
        <v>18000</v>
      </c>
      <c r="H137" s="35">
        <v>0</v>
      </c>
      <c r="I137" s="35">
        <f>0</f>
        <v>0</v>
      </c>
      <c r="J137" s="35">
        <v>0</v>
      </c>
      <c r="K137" s="35">
        <v>0</v>
      </c>
      <c r="L137" s="36">
        <v>0</v>
      </c>
      <c r="M137" s="192"/>
      <c r="N137" s="225"/>
      <c r="O137" s="31"/>
      <c r="P137" s="31"/>
      <c r="Q137" s="31"/>
    </row>
    <row r="138" spans="1:17" x14ac:dyDescent="0.25">
      <c r="A138" s="226" t="s">
        <v>167</v>
      </c>
      <c r="B138" s="226"/>
      <c r="C138" s="226"/>
      <c r="D138" s="226"/>
      <c r="E138" s="226"/>
      <c r="F138" s="226"/>
      <c r="G138" s="226"/>
      <c r="H138" s="226"/>
      <c r="I138" s="226"/>
      <c r="J138" s="226"/>
      <c r="K138" s="226"/>
      <c r="L138" s="226"/>
      <c r="M138" s="226"/>
      <c r="N138" s="226"/>
      <c r="O138" s="31"/>
      <c r="P138" s="31"/>
      <c r="Q138" s="31"/>
    </row>
    <row r="139" spans="1:17" x14ac:dyDescent="0.25">
      <c r="A139" s="218">
        <v>22</v>
      </c>
      <c r="B139" s="219" t="s">
        <v>168</v>
      </c>
      <c r="C139" s="227" t="s">
        <v>169</v>
      </c>
      <c r="D139" s="228" t="s">
        <v>170</v>
      </c>
      <c r="E139" s="59">
        <v>1318372.8</v>
      </c>
      <c r="F139" s="43" t="s">
        <v>6</v>
      </c>
      <c r="G139" s="40">
        <f t="shared" ref="G139:K139" si="33">SUM(G140:G143)</f>
        <v>23178</v>
      </c>
      <c r="H139" s="40">
        <f t="shared" si="33"/>
        <v>16502.5</v>
      </c>
      <c r="I139" s="40">
        <f t="shared" si="33"/>
        <v>0</v>
      </c>
      <c r="J139" s="40">
        <f t="shared" si="33"/>
        <v>0</v>
      </c>
      <c r="K139" s="40">
        <f t="shared" si="33"/>
        <v>0</v>
      </c>
      <c r="L139" s="49">
        <f t="shared" ref="L139:L153" si="34">IFERROR(J139/H139,0)</f>
        <v>0</v>
      </c>
      <c r="M139" s="231">
        <v>6.0000000000000001E-3</v>
      </c>
      <c r="N139" s="233" t="s">
        <v>171</v>
      </c>
      <c r="O139" s="46"/>
      <c r="P139" s="46"/>
      <c r="Q139" s="46"/>
    </row>
    <row r="140" spans="1:17" x14ac:dyDescent="0.25">
      <c r="A140" s="218"/>
      <c r="B140" s="219"/>
      <c r="C140" s="227"/>
      <c r="D140" s="229"/>
      <c r="E140" s="215" t="s">
        <v>172</v>
      </c>
      <c r="F140" s="43" t="s">
        <v>8</v>
      </c>
      <c r="G140" s="60">
        <v>23178</v>
      </c>
      <c r="H140" s="40">
        <v>16502.5</v>
      </c>
      <c r="I140" s="40">
        <v>0</v>
      </c>
      <c r="J140" s="40">
        <v>0</v>
      </c>
      <c r="K140" s="40">
        <v>0</v>
      </c>
      <c r="L140" s="49">
        <f t="shared" si="34"/>
        <v>0</v>
      </c>
      <c r="M140" s="232"/>
      <c r="N140" s="233"/>
      <c r="O140" s="46"/>
      <c r="P140" s="46"/>
      <c r="Q140" s="46"/>
    </row>
    <row r="141" spans="1:17" x14ac:dyDescent="0.25">
      <c r="A141" s="218"/>
      <c r="B141" s="219"/>
      <c r="C141" s="227"/>
      <c r="D141" s="229"/>
      <c r="E141" s="216"/>
      <c r="F141" s="43" t="s">
        <v>9</v>
      </c>
      <c r="G141" s="47">
        <v>0</v>
      </c>
      <c r="H141" s="40">
        <v>0</v>
      </c>
      <c r="I141" s="40">
        <v>0</v>
      </c>
      <c r="J141" s="40">
        <v>0</v>
      </c>
      <c r="K141" s="40">
        <v>0</v>
      </c>
      <c r="L141" s="49">
        <f t="shared" si="34"/>
        <v>0</v>
      </c>
      <c r="M141" s="232"/>
      <c r="N141" s="233"/>
      <c r="O141" s="46"/>
      <c r="P141" s="46"/>
      <c r="Q141" s="46"/>
    </row>
    <row r="142" spans="1:17" x14ac:dyDescent="0.25">
      <c r="A142" s="218"/>
      <c r="B142" s="219"/>
      <c r="C142" s="227"/>
      <c r="D142" s="229"/>
      <c r="E142" s="216"/>
      <c r="F142" s="43" t="s">
        <v>10</v>
      </c>
      <c r="G142" s="47">
        <v>0</v>
      </c>
      <c r="H142" s="40">
        <v>0</v>
      </c>
      <c r="I142" s="40">
        <v>0</v>
      </c>
      <c r="J142" s="40">
        <v>0</v>
      </c>
      <c r="K142" s="40">
        <v>0</v>
      </c>
      <c r="L142" s="49">
        <f t="shared" si="34"/>
        <v>0</v>
      </c>
      <c r="M142" s="232"/>
      <c r="N142" s="233"/>
      <c r="O142" s="46"/>
      <c r="P142" s="46"/>
      <c r="Q142" s="46"/>
    </row>
    <row r="143" spans="1:17" x14ac:dyDescent="0.25">
      <c r="A143" s="218"/>
      <c r="B143" s="219"/>
      <c r="C143" s="227"/>
      <c r="D143" s="230"/>
      <c r="E143" s="217"/>
      <c r="F143" s="43" t="s">
        <v>11</v>
      </c>
      <c r="G143" s="47">
        <v>0</v>
      </c>
      <c r="H143" s="40">
        <v>0</v>
      </c>
      <c r="I143" s="40">
        <v>0</v>
      </c>
      <c r="J143" s="40">
        <v>0</v>
      </c>
      <c r="K143" s="40">
        <v>0</v>
      </c>
      <c r="L143" s="49">
        <f t="shared" si="34"/>
        <v>0</v>
      </c>
      <c r="M143" s="232"/>
      <c r="N143" s="233"/>
      <c r="O143" s="46"/>
      <c r="P143" s="46"/>
      <c r="Q143" s="46"/>
    </row>
    <row r="144" spans="1:17" x14ac:dyDescent="0.25">
      <c r="A144" s="218">
        <v>23</v>
      </c>
      <c r="B144" s="219" t="s">
        <v>173</v>
      </c>
      <c r="C144" s="220" t="s">
        <v>174</v>
      </c>
      <c r="D144" s="221" t="s">
        <v>175</v>
      </c>
      <c r="E144" s="224">
        <v>1209054.5</v>
      </c>
      <c r="F144" s="43" t="s">
        <v>6</v>
      </c>
      <c r="G144" s="40">
        <f t="shared" ref="G144:K144" si="35">SUM(G145:G148)</f>
        <v>1022029.1000000001</v>
      </c>
      <c r="H144" s="40">
        <f t="shared" si="35"/>
        <v>180620.83098999999</v>
      </c>
      <c r="I144" s="40">
        <f t="shared" si="35"/>
        <v>51824.7</v>
      </c>
      <c r="J144" s="40">
        <f>I144</f>
        <v>51824.7</v>
      </c>
      <c r="K144" s="40">
        <f t="shared" si="35"/>
        <v>0</v>
      </c>
      <c r="L144" s="49">
        <f t="shared" si="34"/>
        <v>0.2869253768568325</v>
      </c>
      <c r="M144" s="231">
        <v>0.29299999999999998</v>
      </c>
      <c r="N144" s="233" t="s">
        <v>176</v>
      </c>
      <c r="O144" s="46"/>
      <c r="P144" s="46"/>
      <c r="Q144" s="46"/>
    </row>
    <row r="145" spans="1:17" x14ac:dyDescent="0.25">
      <c r="A145" s="218"/>
      <c r="B145" s="219"/>
      <c r="C145" s="220"/>
      <c r="D145" s="222"/>
      <c r="E145" s="224"/>
      <c r="F145" s="43" t="s">
        <v>8</v>
      </c>
      <c r="G145" s="40">
        <v>669509.80000000005</v>
      </c>
      <c r="H145" s="40">
        <v>141878.14098</v>
      </c>
      <c r="I145" s="40">
        <v>40708.400000000001</v>
      </c>
      <c r="J145" s="40">
        <v>13899.8</v>
      </c>
      <c r="K145" s="40">
        <v>0</v>
      </c>
      <c r="L145" s="49">
        <f t="shared" si="34"/>
        <v>9.7969989626234238E-2</v>
      </c>
      <c r="M145" s="232"/>
      <c r="N145" s="233"/>
      <c r="O145" s="46"/>
      <c r="P145" s="46"/>
      <c r="Q145" s="46"/>
    </row>
    <row r="146" spans="1:17" x14ac:dyDescent="0.25">
      <c r="A146" s="218"/>
      <c r="B146" s="219"/>
      <c r="C146" s="220"/>
      <c r="D146" s="222"/>
      <c r="E146" s="224"/>
      <c r="F146" s="43" t="s">
        <v>9</v>
      </c>
      <c r="G146" s="40">
        <v>0</v>
      </c>
      <c r="H146" s="40">
        <v>0</v>
      </c>
      <c r="I146" s="40">
        <v>0</v>
      </c>
      <c r="J146" s="40">
        <v>0</v>
      </c>
      <c r="K146" s="40">
        <v>0</v>
      </c>
      <c r="L146" s="49">
        <f t="shared" si="34"/>
        <v>0</v>
      </c>
      <c r="M146" s="232"/>
      <c r="N146" s="233"/>
      <c r="O146" s="46"/>
      <c r="P146" s="46"/>
      <c r="Q146" s="46"/>
    </row>
    <row r="147" spans="1:17" x14ac:dyDescent="0.25">
      <c r="A147" s="218"/>
      <c r="B147" s="219"/>
      <c r="C147" s="220"/>
      <c r="D147" s="222"/>
      <c r="E147" s="224"/>
      <c r="F147" s="43" t="s">
        <v>10</v>
      </c>
      <c r="G147" s="40">
        <v>334519.3</v>
      </c>
      <c r="H147" s="40">
        <v>38742.690009999998</v>
      </c>
      <c r="I147" s="40">
        <v>11116.3</v>
      </c>
      <c r="J147" s="40">
        <v>5489.1</v>
      </c>
      <c r="K147" s="40">
        <v>0</v>
      </c>
      <c r="L147" s="49">
        <f t="shared" si="34"/>
        <v>0.14168092093200527</v>
      </c>
      <c r="M147" s="232"/>
      <c r="N147" s="233"/>
      <c r="O147" s="46"/>
      <c r="P147" s="46"/>
      <c r="Q147" s="46"/>
    </row>
    <row r="148" spans="1:17" x14ac:dyDescent="0.25">
      <c r="A148" s="218"/>
      <c r="B148" s="219"/>
      <c r="C148" s="220"/>
      <c r="D148" s="223"/>
      <c r="E148" s="224"/>
      <c r="F148" s="43" t="s">
        <v>11</v>
      </c>
      <c r="G148" s="40">
        <v>18000</v>
      </c>
      <c r="H148" s="40">
        <v>0</v>
      </c>
      <c r="I148" s="40">
        <v>0</v>
      </c>
      <c r="J148" s="40">
        <f t="shared" ref="J148" si="36">I148</f>
        <v>0</v>
      </c>
      <c r="K148" s="40">
        <v>0</v>
      </c>
      <c r="L148" s="49">
        <f t="shared" si="34"/>
        <v>0</v>
      </c>
      <c r="M148" s="232"/>
      <c r="N148" s="233"/>
      <c r="O148" s="46"/>
      <c r="P148" s="46"/>
      <c r="Q148" s="46"/>
    </row>
    <row r="149" spans="1:17" x14ac:dyDescent="0.25">
      <c r="A149" s="218">
        <v>24</v>
      </c>
      <c r="B149" s="221" t="s">
        <v>177</v>
      </c>
      <c r="C149" s="221" t="s">
        <v>178</v>
      </c>
      <c r="D149" s="221" t="s">
        <v>179</v>
      </c>
      <c r="E149" s="215">
        <v>499666.2</v>
      </c>
      <c r="F149" s="43" t="s">
        <v>6</v>
      </c>
      <c r="G149" s="40">
        <f t="shared" ref="G149:I149" si="37">SUM(G150:G153)</f>
        <v>238353.7</v>
      </c>
      <c r="H149" s="40">
        <f t="shared" si="37"/>
        <v>261144.31459999998</v>
      </c>
      <c r="I149" s="40">
        <f t="shared" si="37"/>
        <v>44212.26425</v>
      </c>
      <c r="J149" s="40">
        <f>I149</f>
        <v>44212.26425</v>
      </c>
      <c r="K149" s="40">
        <v>0</v>
      </c>
      <c r="L149" s="49">
        <f t="shared" si="34"/>
        <v>0.16930203637678584</v>
      </c>
      <c r="M149" s="231">
        <v>0.21199999999999999</v>
      </c>
      <c r="N149" s="233" t="s">
        <v>180</v>
      </c>
      <c r="O149" s="46"/>
      <c r="P149" s="46"/>
      <c r="Q149" s="46"/>
    </row>
    <row r="150" spans="1:17" x14ac:dyDescent="0.25">
      <c r="A150" s="218"/>
      <c r="B150" s="222"/>
      <c r="C150" s="222"/>
      <c r="D150" s="222"/>
      <c r="E150" s="216"/>
      <c r="F150" s="43" t="s">
        <v>8</v>
      </c>
      <c r="G150" s="40">
        <v>24129.3</v>
      </c>
      <c r="H150" s="40">
        <v>81829.514599999995</v>
      </c>
      <c r="I150" s="40">
        <v>13705.801960000001</v>
      </c>
      <c r="J150" s="40">
        <f t="shared" ref="J150:J153" si="38">I150</f>
        <v>13705.801960000001</v>
      </c>
      <c r="K150" s="40">
        <v>22.122509999999998</v>
      </c>
      <c r="L150" s="49">
        <f t="shared" si="34"/>
        <v>0.16749215765236863</v>
      </c>
      <c r="M150" s="232"/>
      <c r="N150" s="233"/>
      <c r="O150" s="46"/>
      <c r="P150" s="46"/>
      <c r="Q150" s="46"/>
    </row>
    <row r="151" spans="1:17" x14ac:dyDescent="0.25">
      <c r="A151" s="218"/>
      <c r="B151" s="222"/>
      <c r="C151" s="222"/>
      <c r="D151" s="222"/>
      <c r="E151" s="216"/>
      <c r="F151" s="43" t="s">
        <v>9</v>
      </c>
      <c r="G151" s="40">
        <v>213646.2</v>
      </c>
      <c r="H151" s="40">
        <v>179314.8</v>
      </c>
      <c r="I151" s="40">
        <v>30506.462289999999</v>
      </c>
      <c r="J151" s="40">
        <f t="shared" si="38"/>
        <v>30506.462289999999</v>
      </c>
      <c r="K151" s="40">
        <v>24796.96819</v>
      </c>
      <c r="L151" s="49">
        <f t="shared" si="34"/>
        <v>0.17012796651475506</v>
      </c>
      <c r="M151" s="232"/>
      <c r="N151" s="233"/>
      <c r="O151" s="46"/>
      <c r="P151" s="46"/>
      <c r="Q151" s="46"/>
    </row>
    <row r="152" spans="1:17" x14ac:dyDescent="0.25">
      <c r="A152" s="218"/>
      <c r="B152" s="222"/>
      <c r="C152" s="222"/>
      <c r="D152" s="222"/>
      <c r="E152" s="216"/>
      <c r="F152" s="43" t="s">
        <v>10</v>
      </c>
      <c r="G152" s="40">
        <v>578.20000000000005</v>
      </c>
      <c r="H152" s="40">
        <v>0</v>
      </c>
      <c r="I152" s="51">
        <v>0</v>
      </c>
      <c r="J152" s="40">
        <f t="shared" si="38"/>
        <v>0</v>
      </c>
      <c r="K152" s="40">
        <v>0</v>
      </c>
      <c r="L152" s="49">
        <f t="shared" si="34"/>
        <v>0</v>
      </c>
      <c r="M152" s="232"/>
      <c r="N152" s="233"/>
      <c r="O152" s="46"/>
      <c r="P152" s="46"/>
      <c r="Q152" s="46"/>
    </row>
    <row r="153" spans="1:17" x14ac:dyDescent="0.25">
      <c r="A153" s="218"/>
      <c r="B153" s="223"/>
      <c r="C153" s="223"/>
      <c r="D153" s="223"/>
      <c r="E153" s="217"/>
      <c r="F153" s="43" t="s">
        <v>11</v>
      </c>
      <c r="G153" s="40">
        <v>0</v>
      </c>
      <c r="H153" s="40">
        <v>0</v>
      </c>
      <c r="I153" s="51">
        <v>0</v>
      </c>
      <c r="J153" s="40">
        <f t="shared" si="38"/>
        <v>0</v>
      </c>
      <c r="K153" s="40">
        <v>0</v>
      </c>
      <c r="L153" s="49">
        <f t="shared" si="34"/>
        <v>0</v>
      </c>
      <c r="M153" s="232"/>
      <c r="N153" s="233"/>
      <c r="O153" s="46"/>
      <c r="P153" s="46"/>
      <c r="Q153" s="46"/>
    </row>
    <row r="154" spans="1:17" ht="21" x14ac:dyDescent="0.25">
      <c r="A154" s="190" t="s">
        <v>181</v>
      </c>
      <c r="B154" s="191"/>
      <c r="C154" s="191"/>
      <c r="D154" s="191"/>
      <c r="E154" s="191"/>
      <c r="F154" s="34" t="s">
        <v>6</v>
      </c>
      <c r="G154" s="35">
        <f>SUM(G155:G158)</f>
        <v>2698157.7533799997</v>
      </c>
      <c r="H154" s="35">
        <f>SUM(H155:H158)</f>
        <v>4772191.3736400008</v>
      </c>
      <c r="I154" s="35">
        <f>SUM(I155:I158)</f>
        <v>858013.58796999999</v>
      </c>
      <c r="J154" s="35">
        <f>SUM(J155:J158)</f>
        <v>130100.30671999999</v>
      </c>
      <c r="K154" s="35">
        <v>0</v>
      </c>
      <c r="L154" s="36">
        <f>J154/H154</f>
        <v>2.7262172979614953E-2</v>
      </c>
      <c r="M154" s="192"/>
      <c r="N154" s="193"/>
      <c r="O154" s="31"/>
      <c r="P154" s="31"/>
      <c r="Q154" s="31"/>
    </row>
    <row r="155" spans="1:17" x14ac:dyDescent="0.25">
      <c r="A155" s="191"/>
      <c r="B155" s="191"/>
      <c r="C155" s="191"/>
      <c r="D155" s="191"/>
      <c r="E155" s="191"/>
      <c r="F155" s="34" t="s">
        <v>108</v>
      </c>
      <c r="G155" s="35">
        <f>SUM(G161+G166+G171+G176+G182+G187+G193+G198+G203+G208+G213+G218+G223+G228+G239+G244+G249+G254)</f>
        <v>1221906.1202699998</v>
      </c>
      <c r="H155" s="35">
        <f>SUM(H161+H166+H171+H176+H182+H187+H193+H198+H203+H208+H213+H218+H223+H228+H233+H239+H244+H249+H254)</f>
        <v>2689131.3136400003</v>
      </c>
      <c r="I155" s="35">
        <f>SUM(I166+I171+I176+I182+I198+I203+I213+I218+I239+I244+I249)</f>
        <v>324436.14796999999</v>
      </c>
      <c r="J155" s="35">
        <f>SUM(J171+J176+J182+J239+J244+J249)</f>
        <v>98377.266719999985</v>
      </c>
      <c r="K155" s="35">
        <v>0</v>
      </c>
      <c r="L155" s="36">
        <f>J155/H155</f>
        <v>3.6583288521837488E-2</v>
      </c>
      <c r="M155" s="192"/>
      <c r="N155" s="225"/>
      <c r="O155" s="31"/>
      <c r="P155" s="31"/>
      <c r="Q155" s="31"/>
    </row>
    <row r="156" spans="1:17" x14ac:dyDescent="0.25">
      <c r="A156" s="191"/>
      <c r="B156" s="191"/>
      <c r="C156" s="191"/>
      <c r="D156" s="191"/>
      <c r="E156" s="191"/>
      <c r="F156" s="34" t="s">
        <v>109</v>
      </c>
      <c r="G156" s="35">
        <f>SUM(G199+G240+G245+G250+G255)</f>
        <v>1456019.6331100001</v>
      </c>
      <c r="H156" s="35">
        <f>SUM(H194+H199+H204+H209+H214+H219+H224+H229+H234)</f>
        <v>1926971.3000000003</v>
      </c>
      <c r="I156" s="35">
        <f>SUM(I199+I204+I214+I219)</f>
        <v>501781.7</v>
      </c>
      <c r="J156" s="35">
        <v>0</v>
      </c>
      <c r="K156" s="35">
        <v>0</v>
      </c>
      <c r="L156" s="36">
        <f>J156/H156</f>
        <v>0</v>
      </c>
      <c r="M156" s="192"/>
      <c r="N156" s="225"/>
      <c r="O156" s="31"/>
      <c r="P156" s="31"/>
      <c r="Q156" s="31"/>
    </row>
    <row r="157" spans="1:17" x14ac:dyDescent="0.25">
      <c r="A157" s="191"/>
      <c r="B157" s="191"/>
      <c r="C157" s="191"/>
      <c r="D157" s="191"/>
      <c r="E157" s="191"/>
      <c r="F157" s="34" t="s">
        <v>10</v>
      </c>
      <c r="G157" s="35">
        <f>SUM(G178+G184+G205+G200+G210+G215+G220+G225+G230)</f>
        <v>20232</v>
      </c>
      <c r="H157" s="35">
        <f>SUM(H178+H184+H189+H200+H205+H210+H215+H220+H225+H230)</f>
        <v>156088.76</v>
      </c>
      <c r="I157" s="35">
        <f>SUM(I178+I184+I200+I205+I215+I220)</f>
        <v>31795.739999999998</v>
      </c>
      <c r="J157" s="35">
        <f>SUM(J178+J184)</f>
        <v>31723.040000000001</v>
      </c>
      <c r="K157" s="35">
        <v>0</v>
      </c>
      <c r="L157" s="36">
        <f>J157/H157</f>
        <v>0.20323718376646724</v>
      </c>
      <c r="M157" s="192"/>
      <c r="N157" s="225"/>
      <c r="O157" s="31"/>
      <c r="P157" s="31"/>
      <c r="Q157" s="31"/>
    </row>
    <row r="158" spans="1:17" x14ac:dyDescent="0.25">
      <c r="A158" s="191"/>
      <c r="B158" s="191"/>
      <c r="C158" s="191"/>
      <c r="D158" s="191"/>
      <c r="E158" s="191"/>
      <c r="F158" s="34" t="s">
        <v>11</v>
      </c>
      <c r="G158" s="35">
        <v>0</v>
      </c>
      <c r="H158" s="35">
        <v>0</v>
      </c>
      <c r="I158" s="35">
        <v>0</v>
      </c>
      <c r="J158" s="35">
        <v>0</v>
      </c>
      <c r="K158" s="35">
        <v>0</v>
      </c>
      <c r="L158" s="36">
        <f>IFERROR(J158/H158,0)</f>
        <v>0</v>
      </c>
      <c r="M158" s="192"/>
      <c r="N158" s="225"/>
      <c r="O158" s="31"/>
      <c r="P158" s="31"/>
      <c r="Q158" s="31"/>
    </row>
    <row r="159" spans="1:17" x14ac:dyDescent="0.25">
      <c r="A159" s="241" t="s">
        <v>182</v>
      </c>
      <c r="B159" s="242"/>
      <c r="C159" s="242"/>
      <c r="D159" s="242"/>
      <c r="E159" s="242"/>
      <c r="F159" s="242"/>
      <c r="G159" s="242"/>
      <c r="H159" s="242"/>
      <c r="I159" s="242"/>
      <c r="J159" s="242"/>
      <c r="K159" s="242"/>
      <c r="L159" s="242"/>
      <c r="M159" s="242"/>
      <c r="N159" s="243"/>
      <c r="O159" s="31"/>
      <c r="P159" s="31"/>
      <c r="Q159" s="31"/>
    </row>
    <row r="160" spans="1:17" x14ac:dyDescent="0.25">
      <c r="A160" s="235" t="s">
        <v>183</v>
      </c>
      <c r="B160" s="236" t="s">
        <v>184</v>
      </c>
      <c r="C160" s="238" t="s">
        <v>185</v>
      </c>
      <c r="D160" s="238" t="s">
        <v>186</v>
      </c>
      <c r="E160" s="238">
        <v>604.6</v>
      </c>
      <c r="F160" s="61" t="s">
        <v>6</v>
      </c>
      <c r="G160" s="54">
        <v>0</v>
      </c>
      <c r="H160" s="54">
        <v>604.6</v>
      </c>
      <c r="I160" s="54">
        <v>0</v>
      </c>
      <c r="J160" s="54">
        <v>0</v>
      </c>
      <c r="K160" s="54">
        <v>0</v>
      </c>
      <c r="L160" s="58">
        <v>0</v>
      </c>
      <c r="M160" s="239">
        <v>0</v>
      </c>
      <c r="N160" s="234" t="s">
        <v>187</v>
      </c>
      <c r="O160" s="31"/>
      <c r="P160" s="31"/>
      <c r="Q160" s="31"/>
    </row>
    <row r="161" spans="1:17" x14ac:dyDescent="0.25">
      <c r="A161" s="235"/>
      <c r="B161" s="237"/>
      <c r="C161" s="238"/>
      <c r="D161" s="238"/>
      <c r="E161" s="238"/>
      <c r="F161" s="61" t="s">
        <v>108</v>
      </c>
      <c r="G161" s="57">
        <v>0</v>
      </c>
      <c r="H161" s="62">
        <v>604.6</v>
      </c>
      <c r="I161" s="62">
        <v>0</v>
      </c>
      <c r="J161" s="63">
        <v>0</v>
      </c>
      <c r="K161" s="63">
        <v>0</v>
      </c>
      <c r="L161" s="58">
        <v>0</v>
      </c>
      <c r="M161" s="240"/>
      <c r="N161" s="234"/>
      <c r="O161" s="31"/>
      <c r="P161" s="31"/>
      <c r="Q161" s="31"/>
    </row>
    <row r="162" spans="1:17" x14ac:dyDescent="0.25">
      <c r="A162" s="235"/>
      <c r="B162" s="237"/>
      <c r="C162" s="238"/>
      <c r="D162" s="238"/>
      <c r="E162" s="238"/>
      <c r="F162" s="61" t="s">
        <v>109</v>
      </c>
      <c r="G162" s="57">
        <v>0</v>
      </c>
      <c r="H162" s="62">
        <v>0</v>
      </c>
      <c r="I162" s="62">
        <v>0</v>
      </c>
      <c r="J162" s="63">
        <v>0</v>
      </c>
      <c r="K162" s="63">
        <v>0</v>
      </c>
      <c r="L162" s="58">
        <v>0</v>
      </c>
      <c r="M162" s="240"/>
      <c r="N162" s="234"/>
      <c r="O162" s="31"/>
      <c r="P162" s="31"/>
      <c r="Q162" s="31"/>
    </row>
    <row r="163" spans="1:17" x14ac:dyDescent="0.25">
      <c r="A163" s="235"/>
      <c r="B163" s="237"/>
      <c r="C163" s="238"/>
      <c r="D163" s="238"/>
      <c r="E163" s="238"/>
      <c r="F163" s="61" t="s">
        <v>10</v>
      </c>
      <c r="G163" s="57">
        <v>0</v>
      </c>
      <c r="H163" s="62">
        <v>0</v>
      </c>
      <c r="I163" s="62">
        <v>0</v>
      </c>
      <c r="J163" s="63">
        <v>0</v>
      </c>
      <c r="K163" s="63">
        <v>0</v>
      </c>
      <c r="L163" s="58">
        <v>0</v>
      </c>
      <c r="M163" s="240"/>
      <c r="N163" s="234"/>
      <c r="O163" s="31"/>
      <c r="P163" s="31"/>
      <c r="Q163" s="31"/>
    </row>
    <row r="164" spans="1:17" x14ac:dyDescent="0.25">
      <c r="A164" s="235"/>
      <c r="B164" s="237"/>
      <c r="C164" s="238"/>
      <c r="D164" s="238"/>
      <c r="E164" s="238"/>
      <c r="F164" s="61" t="s">
        <v>11</v>
      </c>
      <c r="G164" s="57">
        <v>0</v>
      </c>
      <c r="H164" s="62">
        <v>0</v>
      </c>
      <c r="I164" s="62">
        <v>0</v>
      </c>
      <c r="J164" s="63">
        <v>0</v>
      </c>
      <c r="K164" s="63">
        <v>0</v>
      </c>
      <c r="L164" s="58">
        <v>0</v>
      </c>
      <c r="M164" s="240"/>
      <c r="N164" s="234"/>
      <c r="O164" s="31"/>
      <c r="P164" s="31"/>
      <c r="Q164" s="31"/>
    </row>
    <row r="165" spans="1:17" x14ac:dyDescent="0.25">
      <c r="A165" s="235" t="s">
        <v>188</v>
      </c>
      <c r="B165" s="236" t="s">
        <v>189</v>
      </c>
      <c r="C165" s="238" t="s">
        <v>185</v>
      </c>
      <c r="D165" s="238" t="s">
        <v>190</v>
      </c>
      <c r="E165" s="238">
        <v>11821.4</v>
      </c>
      <c r="F165" s="61" t="s">
        <v>6</v>
      </c>
      <c r="G165" s="54">
        <v>6330</v>
      </c>
      <c r="H165" s="54">
        <v>5491.4</v>
      </c>
      <c r="I165" s="54">
        <v>693.48125000000005</v>
      </c>
      <c r="J165" s="54">
        <v>0</v>
      </c>
      <c r="K165" s="54">
        <v>0</v>
      </c>
      <c r="L165" s="58">
        <v>0</v>
      </c>
      <c r="M165" s="239">
        <v>0.53400000000000003</v>
      </c>
      <c r="N165" s="234" t="s">
        <v>191</v>
      </c>
      <c r="O165" s="31"/>
      <c r="P165" s="31"/>
      <c r="Q165" s="31"/>
    </row>
    <row r="166" spans="1:17" x14ac:dyDescent="0.25">
      <c r="A166" s="235"/>
      <c r="B166" s="237"/>
      <c r="C166" s="238"/>
      <c r="D166" s="238"/>
      <c r="E166" s="238"/>
      <c r="F166" s="61" t="s">
        <v>108</v>
      </c>
      <c r="G166" s="57">
        <v>6330</v>
      </c>
      <c r="H166" s="62">
        <v>5491.4</v>
      </c>
      <c r="I166" s="62">
        <v>693.48125000000005</v>
      </c>
      <c r="J166" s="63">
        <v>0</v>
      </c>
      <c r="K166" s="63">
        <v>0</v>
      </c>
      <c r="L166" s="58">
        <v>0</v>
      </c>
      <c r="M166" s="240"/>
      <c r="N166" s="234"/>
      <c r="O166" s="31"/>
      <c r="P166" s="31"/>
      <c r="Q166" s="31"/>
    </row>
    <row r="167" spans="1:17" x14ac:dyDescent="0.25">
      <c r="A167" s="235"/>
      <c r="B167" s="237"/>
      <c r="C167" s="238"/>
      <c r="D167" s="238"/>
      <c r="E167" s="238"/>
      <c r="F167" s="61" t="s">
        <v>109</v>
      </c>
      <c r="G167" s="57">
        <v>0</v>
      </c>
      <c r="H167" s="62">
        <v>0</v>
      </c>
      <c r="I167" s="62">
        <v>0</v>
      </c>
      <c r="J167" s="63">
        <v>0</v>
      </c>
      <c r="K167" s="63">
        <v>0</v>
      </c>
      <c r="L167" s="58">
        <v>0</v>
      </c>
      <c r="M167" s="240"/>
      <c r="N167" s="234"/>
      <c r="O167" s="31"/>
      <c r="P167" s="31"/>
      <c r="Q167" s="31"/>
    </row>
    <row r="168" spans="1:17" x14ac:dyDescent="0.25">
      <c r="A168" s="235"/>
      <c r="B168" s="237"/>
      <c r="C168" s="238"/>
      <c r="D168" s="238"/>
      <c r="E168" s="238"/>
      <c r="F168" s="61" t="s">
        <v>10</v>
      </c>
      <c r="G168" s="57">
        <v>0</v>
      </c>
      <c r="H168" s="62">
        <v>0</v>
      </c>
      <c r="I168" s="62">
        <v>0</v>
      </c>
      <c r="J168" s="63">
        <v>0</v>
      </c>
      <c r="K168" s="63">
        <v>0</v>
      </c>
      <c r="L168" s="58">
        <v>0</v>
      </c>
      <c r="M168" s="240"/>
      <c r="N168" s="234"/>
      <c r="O168" s="31"/>
      <c r="P168" s="31"/>
      <c r="Q168" s="31"/>
    </row>
    <row r="169" spans="1:17" x14ac:dyDescent="0.25">
      <c r="A169" s="235"/>
      <c r="B169" s="237"/>
      <c r="C169" s="238"/>
      <c r="D169" s="238"/>
      <c r="E169" s="238"/>
      <c r="F169" s="61" t="s">
        <v>11</v>
      </c>
      <c r="G169" s="57">
        <v>0</v>
      </c>
      <c r="H169" s="62">
        <v>0</v>
      </c>
      <c r="I169" s="62">
        <v>0</v>
      </c>
      <c r="J169" s="63">
        <v>0</v>
      </c>
      <c r="K169" s="63">
        <v>0</v>
      </c>
      <c r="L169" s="58">
        <v>0</v>
      </c>
      <c r="M169" s="240"/>
      <c r="N169" s="234"/>
      <c r="O169" s="31"/>
      <c r="P169" s="31"/>
      <c r="Q169" s="31"/>
    </row>
    <row r="170" spans="1:17" x14ac:dyDescent="0.25">
      <c r="A170" s="235" t="s">
        <v>192</v>
      </c>
      <c r="B170" s="238" t="s">
        <v>193</v>
      </c>
      <c r="C170" s="238" t="s">
        <v>194</v>
      </c>
      <c r="D170" s="238" t="s">
        <v>195</v>
      </c>
      <c r="E170" s="250">
        <v>966138.4</v>
      </c>
      <c r="F170" s="61" t="s">
        <v>6</v>
      </c>
      <c r="G170" s="54">
        <f>G171+G172+G173+G174</f>
        <v>307474.59999999998</v>
      </c>
      <c r="H170" s="54">
        <f t="shared" ref="H170:J170" si="39">H171+H172+H173+H174</f>
        <v>658662.98117000004</v>
      </c>
      <c r="I170" s="54">
        <f t="shared" si="39"/>
        <v>3314.9636099999998</v>
      </c>
      <c r="J170" s="54">
        <f t="shared" si="39"/>
        <v>3314.9636099999998</v>
      </c>
      <c r="K170" s="54">
        <f>K171+K172+K173+K174</f>
        <v>0</v>
      </c>
      <c r="L170" s="239">
        <v>5.0000000000000001E-3</v>
      </c>
      <c r="M170" s="249">
        <v>0.3</v>
      </c>
      <c r="N170" s="238" t="s">
        <v>196</v>
      </c>
      <c r="O170" s="31"/>
      <c r="P170" s="31"/>
      <c r="Q170" s="31"/>
    </row>
    <row r="171" spans="1:17" x14ac:dyDescent="0.25">
      <c r="A171" s="235"/>
      <c r="B171" s="238"/>
      <c r="C171" s="238"/>
      <c r="D171" s="238"/>
      <c r="E171" s="250"/>
      <c r="F171" s="61" t="s">
        <v>108</v>
      </c>
      <c r="G171" s="57">
        <f>296572.6+10902</f>
        <v>307474.59999999998</v>
      </c>
      <c r="H171" s="62">
        <v>658662.98117000004</v>
      </c>
      <c r="I171" s="62">
        <v>3314.9636099999998</v>
      </c>
      <c r="J171" s="63">
        <f t="shared" ref="J171:J174" si="40">I171</f>
        <v>3314.9636099999998</v>
      </c>
      <c r="K171" s="63">
        <v>0</v>
      </c>
      <c r="L171" s="240"/>
      <c r="M171" s="240"/>
      <c r="N171" s="238"/>
      <c r="O171" s="31"/>
      <c r="P171" s="31"/>
      <c r="Q171" s="31"/>
    </row>
    <row r="172" spans="1:17" x14ac:dyDescent="0.25">
      <c r="A172" s="235"/>
      <c r="B172" s="238"/>
      <c r="C172" s="238"/>
      <c r="D172" s="238"/>
      <c r="E172" s="250"/>
      <c r="F172" s="61" t="s">
        <v>109</v>
      </c>
      <c r="G172" s="57">
        <v>0</v>
      </c>
      <c r="H172" s="62">
        <v>0</v>
      </c>
      <c r="I172" s="62">
        <v>0</v>
      </c>
      <c r="J172" s="63">
        <f t="shared" si="40"/>
        <v>0</v>
      </c>
      <c r="K172" s="63">
        <v>0</v>
      </c>
      <c r="L172" s="240"/>
      <c r="M172" s="240"/>
      <c r="N172" s="238"/>
      <c r="O172" s="31"/>
      <c r="P172" s="31"/>
      <c r="Q172" s="31"/>
    </row>
    <row r="173" spans="1:17" x14ac:dyDescent="0.25">
      <c r="A173" s="235"/>
      <c r="B173" s="238"/>
      <c r="C173" s="238"/>
      <c r="D173" s="238"/>
      <c r="E173" s="250"/>
      <c r="F173" s="61" t="s">
        <v>10</v>
      </c>
      <c r="G173" s="57">
        <v>0</v>
      </c>
      <c r="H173" s="62">
        <v>0</v>
      </c>
      <c r="I173" s="62">
        <v>0</v>
      </c>
      <c r="J173" s="63">
        <f t="shared" si="40"/>
        <v>0</v>
      </c>
      <c r="K173" s="63">
        <v>0</v>
      </c>
      <c r="L173" s="240"/>
      <c r="M173" s="240"/>
      <c r="N173" s="238"/>
      <c r="O173" s="31"/>
      <c r="P173" s="31"/>
      <c r="Q173" s="31"/>
    </row>
    <row r="174" spans="1:17" x14ac:dyDescent="0.25">
      <c r="A174" s="235"/>
      <c r="B174" s="238"/>
      <c r="C174" s="238"/>
      <c r="D174" s="238"/>
      <c r="E174" s="250"/>
      <c r="F174" s="61" t="s">
        <v>11</v>
      </c>
      <c r="G174" s="57">
        <v>0</v>
      </c>
      <c r="H174" s="62">
        <v>0</v>
      </c>
      <c r="I174" s="62">
        <v>0</v>
      </c>
      <c r="J174" s="63">
        <f t="shared" si="40"/>
        <v>0</v>
      </c>
      <c r="K174" s="63">
        <v>0</v>
      </c>
      <c r="L174" s="240"/>
      <c r="M174" s="240"/>
      <c r="N174" s="238"/>
      <c r="O174" s="31"/>
      <c r="P174" s="31"/>
      <c r="Q174" s="31"/>
    </row>
    <row r="175" spans="1:17" x14ac:dyDescent="0.25">
      <c r="A175" s="235" t="s">
        <v>197</v>
      </c>
      <c r="B175" s="238" t="s">
        <v>198</v>
      </c>
      <c r="C175" s="238" t="s">
        <v>199</v>
      </c>
      <c r="D175" s="238" t="s">
        <v>200</v>
      </c>
      <c r="E175" s="250">
        <v>272714.2</v>
      </c>
      <c r="F175" s="61" t="s">
        <v>6</v>
      </c>
      <c r="G175" s="54">
        <f>G176+G177+G178+G179</f>
        <v>2232.8000000000002</v>
      </c>
      <c r="H175" s="54">
        <f t="shared" ref="H175:K175" si="41">H176+H177+H178+H179</f>
        <v>270481.44037999999</v>
      </c>
      <c r="I175" s="54">
        <f t="shared" si="41"/>
        <v>68970.827669999999</v>
      </c>
      <c r="J175" s="54">
        <f t="shared" si="41"/>
        <v>68970.827669999999</v>
      </c>
      <c r="K175" s="54">
        <f t="shared" si="41"/>
        <v>0</v>
      </c>
      <c r="L175" s="239">
        <v>0.255</v>
      </c>
      <c r="M175" s="249">
        <v>25.3</v>
      </c>
      <c r="N175" s="238" t="s">
        <v>201</v>
      </c>
      <c r="O175" s="31"/>
      <c r="P175" s="31"/>
      <c r="Q175" s="31"/>
    </row>
    <row r="176" spans="1:17" x14ac:dyDescent="0.25">
      <c r="A176" s="235"/>
      <c r="B176" s="238"/>
      <c r="C176" s="238"/>
      <c r="D176" s="238"/>
      <c r="E176" s="250"/>
      <c r="F176" s="61" t="s">
        <v>108</v>
      </c>
      <c r="G176" s="57">
        <v>0</v>
      </c>
      <c r="H176" s="62">
        <v>147714.26037999999</v>
      </c>
      <c r="I176" s="62">
        <v>37270.287669999998</v>
      </c>
      <c r="J176" s="63">
        <f t="shared" ref="J176:J179" si="42">I176</f>
        <v>37270.287669999998</v>
      </c>
      <c r="K176" s="63">
        <v>0</v>
      </c>
      <c r="L176" s="240"/>
      <c r="M176" s="240"/>
      <c r="N176" s="238"/>
      <c r="O176" s="31"/>
      <c r="P176" s="31"/>
      <c r="Q176" s="31"/>
    </row>
    <row r="177" spans="1:17" x14ac:dyDescent="0.25">
      <c r="A177" s="235"/>
      <c r="B177" s="238"/>
      <c r="C177" s="238"/>
      <c r="D177" s="238"/>
      <c r="E177" s="250"/>
      <c r="F177" s="61" t="s">
        <v>109</v>
      </c>
      <c r="G177" s="57">
        <v>0</v>
      </c>
      <c r="H177" s="62">
        <v>0</v>
      </c>
      <c r="I177" s="62">
        <v>0</v>
      </c>
      <c r="J177" s="63">
        <f t="shared" si="42"/>
        <v>0</v>
      </c>
      <c r="K177" s="63">
        <v>0</v>
      </c>
      <c r="L177" s="240"/>
      <c r="M177" s="240"/>
      <c r="N177" s="238"/>
      <c r="O177" s="31"/>
      <c r="P177" s="31"/>
      <c r="Q177" s="31"/>
    </row>
    <row r="178" spans="1:17" x14ac:dyDescent="0.25">
      <c r="A178" s="235"/>
      <c r="B178" s="238"/>
      <c r="C178" s="238"/>
      <c r="D178" s="238"/>
      <c r="E178" s="250"/>
      <c r="F178" s="61" t="s">
        <v>10</v>
      </c>
      <c r="G178" s="57">
        <v>2232.8000000000002</v>
      </c>
      <c r="H178" s="62">
        <v>122767.18</v>
      </c>
      <c r="I178" s="62">
        <v>31700.54</v>
      </c>
      <c r="J178" s="63">
        <f t="shared" si="42"/>
        <v>31700.54</v>
      </c>
      <c r="K178" s="63">
        <v>0</v>
      </c>
      <c r="L178" s="240"/>
      <c r="M178" s="240"/>
      <c r="N178" s="238"/>
      <c r="O178" s="31"/>
      <c r="P178" s="31"/>
      <c r="Q178" s="31"/>
    </row>
    <row r="179" spans="1:17" x14ac:dyDescent="0.25">
      <c r="A179" s="235"/>
      <c r="B179" s="238"/>
      <c r="C179" s="238"/>
      <c r="D179" s="238"/>
      <c r="E179" s="250"/>
      <c r="F179" s="61" t="s">
        <v>11</v>
      </c>
      <c r="G179" s="57">
        <v>0</v>
      </c>
      <c r="H179" s="62">
        <v>0</v>
      </c>
      <c r="I179" s="62">
        <v>0</v>
      </c>
      <c r="J179" s="63">
        <f t="shared" si="42"/>
        <v>0</v>
      </c>
      <c r="K179" s="63">
        <v>0</v>
      </c>
      <c r="L179" s="240"/>
      <c r="M179" s="240"/>
      <c r="N179" s="238"/>
      <c r="O179" s="31"/>
      <c r="P179" s="31"/>
      <c r="Q179" s="31"/>
    </row>
    <row r="180" spans="1:17" x14ac:dyDescent="0.25">
      <c r="A180" s="244" t="s">
        <v>202</v>
      </c>
      <c r="B180" s="140"/>
      <c r="C180" s="140"/>
      <c r="D180" s="140"/>
      <c r="E180" s="140"/>
      <c r="F180" s="140"/>
      <c r="G180" s="140"/>
      <c r="H180" s="140"/>
      <c r="I180" s="140"/>
      <c r="J180" s="140"/>
      <c r="K180" s="140"/>
      <c r="L180" s="140"/>
      <c r="M180" s="140"/>
      <c r="N180" s="140"/>
      <c r="O180" s="31"/>
      <c r="P180" s="31"/>
      <c r="Q180" s="31"/>
    </row>
    <row r="181" spans="1:17" ht="21" x14ac:dyDescent="0.25">
      <c r="A181" s="245" t="s">
        <v>203</v>
      </c>
      <c r="B181" s="238" t="s">
        <v>204</v>
      </c>
      <c r="C181" s="238" t="s">
        <v>205</v>
      </c>
      <c r="D181" s="238" t="s">
        <v>206</v>
      </c>
      <c r="E181" s="238" t="s">
        <v>207</v>
      </c>
      <c r="F181" s="64" t="s">
        <v>6</v>
      </c>
      <c r="G181" s="54">
        <f>G182+G183+G184+G185</f>
        <v>104569.4</v>
      </c>
      <c r="H181" s="54">
        <f t="shared" ref="H181:K181" si="43">H182+H183+H184+H185</f>
        <v>82352.899999999994</v>
      </c>
      <c r="I181" s="54">
        <f t="shared" si="43"/>
        <v>149.78749999999999</v>
      </c>
      <c r="J181" s="54">
        <f t="shared" si="43"/>
        <v>149.78749999999999</v>
      </c>
      <c r="K181" s="54">
        <f t="shared" si="43"/>
        <v>0</v>
      </c>
      <c r="L181" s="58">
        <f t="shared" ref="L181:L190" si="44">IFERROR(J181/H181,0)</f>
        <v>1.8188491237102762E-3</v>
      </c>
      <c r="M181" s="239">
        <v>0.36499999999999999</v>
      </c>
      <c r="N181" s="248" t="s">
        <v>208</v>
      </c>
      <c r="O181" s="31"/>
      <c r="P181" s="31"/>
      <c r="Q181" s="31"/>
    </row>
    <row r="182" spans="1:17" x14ac:dyDescent="0.25">
      <c r="A182" s="246"/>
      <c r="B182" s="238"/>
      <c r="C182" s="238"/>
      <c r="D182" s="238"/>
      <c r="E182" s="238"/>
      <c r="F182" s="65" t="s">
        <v>108</v>
      </c>
      <c r="G182" s="57">
        <v>86583.5</v>
      </c>
      <c r="H182" s="62">
        <v>70000</v>
      </c>
      <c r="I182" s="62">
        <v>127.28749999999999</v>
      </c>
      <c r="J182" s="63">
        <f t="shared" ref="J182:J185" si="45">I182</f>
        <v>127.28749999999999</v>
      </c>
      <c r="K182" s="63">
        <v>0</v>
      </c>
      <c r="L182" s="58">
        <f t="shared" si="44"/>
        <v>1.818392857142857E-3</v>
      </c>
      <c r="M182" s="240"/>
      <c r="N182" s="248"/>
      <c r="O182" s="31"/>
      <c r="P182" s="31"/>
      <c r="Q182" s="31"/>
    </row>
    <row r="183" spans="1:17" x14ac:dyDescent="0.25">
      <c r="A183" s="246"/>
      <c r="B183" s="238"/>
      <c r="C183" s="238"/>
      <c r="D183" s="238"/>
      <c r="E183" s="238"/>
      <c r="F183" s="65" t="s">
        <v>109</v>
      </c>
      <c r="G183" s="57">
        <v>0</v>
      </c>
      <c r="H183" s="62">
        <v>0</v>
      </c>
      <c r="I183" s="62">
        <v>0</v>
      </c>
      <c r="J183" s="63">
        <f t="shared" si="45"/>
        <v>0</v>
      </c>
      <c r="K183" s="63">
        <v>0</v>
      </c>
      <c r="L183" s="58">
        <f t="shared" si="44"/>
        <v>0</v>
      </c>
      <c r="M183" s="240"/>
      <c r="N183" s="248"/>
      <c r="O183" s="31"/>
      <c r="P183" s="31"/>
      <c r="Q183" s="31"/>
    </row>
    <row r="184" spans="1:17" x14ac:dyDescent="0.25">
      <c r="A184" s="246"/>
      <c r="B184" s="238"/>
      <c r="C184" s="238"/>
      <c r="D184" s="238"/>
      <c r="E184" s="238"/>
      <c r="F184" s="65" t="s">
        <v>10</v>
      </c>
      <c r="G184" s="57">
        <v>17985.900000000001</v>
      </c>
      <c r="H184" s="62">
        <v>12352.9</v>
      </c>
      <c r="I184" s="62">
        <v>22.5</v>
      </c>
      <c r="J184" s="63">
        <f t="shared" si="45"/>
        <v>22.5</v>
      </c>
      <c r="K184" s="63">
        <v>0</v>
      </c>
      <c r="L184" s="58">
        <f t="shared" si="44"/>
        <v>1.8214346428773811E-3</v>
      </c>
      <c r="M184" s="240"/>
      <c r="N184" s="248"/>
      <c r="O184" s="31"/>
      <c r="P184" s="31"/>
      <c r="Q184" s="31"/>
    </row>
    <row r="185" spans="1:17" x14ac:dyDescent="0.25">
      <c r="A185" s="247"/>
      <c r="B185" s="238"/>
      <c r="C185" s="238"/>
      <c r="D185" s="238"/>
      <c r="E185" s="238"/>
      <c r="F185" s="65" t="s">
        <v>11</v>
      </c>
      <c r="G185" s="57">
        <v>0</v>
      </c>
      <c r="H185" s="62">
        <v>0</v>
      </c>
      <c r="I185" s="62">
        <v>0</v>
      </c>
      <c r="J185" s="63">
        <f t="shared" si="45"/>
        <v>0</v>
      </c>
      <c r="K185" s="63">
        <v>0</v>
      </c>
      <c r="L185" s="58">
        <f t="shared" si="44"/>
        <v>0</v>
      </c>
      <c r="M185" s="240"/>
      <c r="N185" s="248"/>
      <c r="O185" s="31"/>
      <c r="P185" s="31"/>
      <c r="Q185" s="31"/>
    </row>
    <row r="186" spans="1:17" ht="21" x14ac:dyDescent="0.25">
      <c r="A186" s="245" t="s">
        <v>209</v>
      </c>
      <c r="B186" s="238" t="s">
        <v>210</v>
      </c>
      <c r="C186" s="238" t="s">
        <v>211</v>
      </c>
      <c r="D186" s="238" t="s">
        <v>212</v>
      </c>
      <c r="E186" s="238" t="s">
        <v>213</v>
      </c>
      <c r="F186" s="64" t="s">
        <v>6</v>
      </c>
      <c r="G186" s="54">
        <f>G187+G188+G189+G190</f>
        <v>0</v>
      </c>
      <c r="H186" s="54">
        <f t="shared" ref="H186:K186" si="46">H187+H188+H189+H190</f>
        <v>138144.1</v>
      </c>
      <c r="I186" s="54">
        <f t="shared" si="46"/>
        <v>0</v>
      </c>
      <c r="J186" s="54">
        <f t="shared" si="46"/>
        <v>0</v>
      </c>
      <c r="K186" s="54">
        <f t="shared" si="46"/>
        <v>0</v>
      </c>
      <c r="L186" s="58">
        <f t="shared" si="44"/>
        <v>0</v>
      </c>
      <c r="M186" s="239">
        <v>0</v>
      </c>
      <c r="N186" s="248" t="s">
        <v>214</v>
      </c>
      <c r="O186" s="31"/>
      <c r="P186" s="31"/>
      <c r="Q186" s="31"/>
    </row>
    <row r="187" spans="1:17" x14ac:dyDescent="0.25">
      <c r="A187" s="246"/>
      <c r="B187" s="238"/>
      <c r="C187" s="238"/>
      <c r="D187" s="238"/>
      <c r="E187" s="238"/>
      <c r="F187" s="65" t="s">
        <v>108</v>
      </c>
      <c r="G187" s="57">
        <v>0</v>
      </c>
      <c r="H187" s="62">
        <v>117422.52</v>
      </c>
      <c r="I187" s="62">
        <v>0</v>
      </c>
      <c r="J187" s="63">
        <f t="shared" ref="J187:J190" si="47">I187</f>
        <v>0</v>
      </c>
      <c r="K187" s="63">
        <v>0</v>
      </c>
      <c r="L187" s="58">
        <f t="shared" si="44"/>
        <v>0</v>
      </c>
      <c r="M187" s="240"/>
      <c r="N187" s="248"/>
      <c r="O187" s="31"/>
      <c r="P187" s="31"/>
      <c r="Q187" s="31"/>
    </row>
    <row r="188" spans="1:17" x14ac:dyDescent="0.25">
      <c r="A188" s="246"/>
      <c r="B188" s="238"/>
      <c r="C188" s="238"/>
      <c r="D188" s="238"/>
      <c r="E188" s="238"/>
      <c r="F188" s="65" t="s">
        <v>109</v>
      </c>
      <c r="G188" s="57">
        <v>0</v>
      </c>
      <c r="H188" s="62">
        <v>0</v>
      </c>
      <c r="I188" s="62">
        <v>0</v>
      </c>
      <c r="J188" s="63">
        <f t="shared" si="47"/>
        <v>0</v>
      </c>
      <c r="K188" s="63">
        <v>0</v>
      </c>
      <c r="L188" s="58">
        <f t="shared" si="44"/>
        <v>0</v>
      </c>
      <c r="M188" s="240"/>
      <c r="N188" s="248"/>
      <c r="O188" s="31"/>
      <c r="P188" s="31"/>
      <c r="Q188" s="31"/>
    </row>
    <row r="189" spans="1:17" x14ac:dyDescent="0.25">
      <c r="A189" s="246"/>
      <c r="B189" s="238"/>
      <c r="C189" s="238"/>
      <c r="D189" s="238"/>
      <c r="E189" s="238"/>
      <c r="F189" s="65" t="s">
        <v>10</v>
      </c>
      <c r="G189" s="57">
        <v>0</v>
      </c>
      <c r="H189" s="62">
        <v>20721.580000000002</v>
      </c>
      <c r="I189" s="62">
        <v>0</v>
      </c>
      <c r="J189" s="63">
        <f t="shared" si="47"/>
        <v>0</v>
      </c>
      <c r="K189" s="63">
        <v>0</v>
      </c>
      <c r="L189" s="58">
        <f t="shared" si="44"/>
        <v>0</v>
      </c>
      <c r="M189" s="240"/>
      <c r="N189" s="248"/>
      <c r="O189" s="31"/>
      <c r="P189" s="31"/>
      <c r="Q189" s="31"/>
    </row>
    <row r="190" spans="1:17" x14ac:dyDescent="0.25">
      <c r="A190" s="247"/>
      <c r="B190" s="238"/>
      <c r="C190" s="238"/>
      <c r="D190" s="238"/>
      <c r="E190" s="238"/>
      <c r="F190" s="65" t="s">
        <v>11</v>
      </c>
      <c r="G190" s="57">
        <v>0</v>
      </c>
      <c r="H190" s="62">
        <v>0</v>
      </c>
      <c r="I190" s="62">
        <v>0</v>
      </c>
      <c r="J190" s="63">
        <f t="shared" si="47"/>
        <v>0</v>
      </c>
      <c r="K190" s="63">
        <v>0</v>
      </c>
      <c r="L190" s="58">
        <f t="shared" si="44"/>
        <v>0</v>
      </c>
      <c r="M190" s="240"/>
      <c r="N190" s="248"/>
      <c r="O190" s="31"/>
      <c r="P190" s="31"/>
      <c r="Q190" s="31"/>
    </row>
    <row r="191" spans="1:17" x14ac:dyDescent="0.25">
      <c r="A191" s="244" t="s">
        <v>215</v>
      </c>
      <c r="B191" s="140"/>
      <c r="C191" s="140"/>
      <c r="D191" s="140"/>
      <c r="E191" s="140"/>
      <c r="F191" s="140"/>
      <c r="G191" s="140"/>
      <c r="H191" s="140"/>
      <c r="I191" s="140"/>
      <c r="J191" s="140"/>
      <c r="K191" s="140"/>
      <c r="L191" s="140"/>
      <c r="M191" s="140"/>
      <c r="N191" s="140"/>
      <c r="O191" s="31"/>
      <c r="P191" s="31"/>
      <c r="Q191" s="31"/>
    </row>
    <row r="192" spans="1:17" ht="21" x14ac:dyDescent="0.25">
      <c r="A192" s="251" t="s">
        <v>209</v>
      </c>
      <c r="B192" s="238" t="s">
        <v>216</v>
      </c>
      <c r="C192" s="252" t="s">
        <v>217</v>
      </c>
      <c r="D192" s="238" t="s">
        <v>218</v>
      </c>
      <c r="E192" s="253" t="s">
        <v>219</v>
      </c>
      <c r="F192" s="64" t="s">
        <v>6</v>
      </c>
      <c r="G192" s="54">
        <v>0</v>
      </c>
      <c r="H192" s="54">
        <v>170696.2</v>
      </c>
      <c r="I192" s="54">
        <v>0</v>
      </c>
      <c r="J192" s="54">
        <v>0</v>
      </c>
      <c r="K192" s="54">
        <v>0</v>
      </c>
      <c r="L192" s="58">
        <v>0</v>
      </c>
      <c r="M192" s="254">
        <v>0</v>
      </c>
      <c r="N192" s="238" t="s">
        <v>220</v>
      </c>
      <c r="O192" s="31"/>
      <c r="P192" s="31"/>
      <c r="Q192" s="31"/>
    </row>
    <row r="193" spans="1:17" x14ac:dyDescent="0.25">
      <c r="A193" s="251"/>
      <c r="B193" s="238"/>
      <c r="C193" s="252"/>
      <c r="D193" s="238"/>
      <c r="E193" s="253"/>
      <c r="F193" s="65" t="s">
        <v>108</v>
      </c>
      <c r="G193" s="57">
        <v>0</v>
      </c>
      <c r="H193" s="62">
        <v>52915.8</v>
      </c>
      <c r="I193" s="62">
        <v>0</v>
      </c>
      <c r="J193" s="63">
        <v>0</v>
      </c>
      <c r="K193" s="63">
        <v>0</v>
      </c>
      <c r="L193" s="58">
        <v>0</v>
      </c>
      <c r="M193" s="254"/>
      <c r="N193" s="238"/>
      <c r="O193" s="31"/>
      <c r="P193" s="31"/>
      <c r="Q193" s="31"/>
    </row>
    <row r="194" spans="1:17" x14ac:dyDescent="0.25">
      <c r="A194" s="251"/>
      <c r="B194" s="238"/>
      <c r="C194" s="252"/>
      <c r="D194" s="238"/>
      <c r="E194" s="253"/>
      <c r="F194" s="65" t="s">
        <v>109</v>
      </c>
      <c r="G194" s="57">
        <v>0</v>
      </c>
      <c r="H194" s="62">
        <v>117780.4</v>
      </c>
      <c r="I194" s="62">
        <v>0</v>
      </c>
      <c r="J194" s="63">
        <v>0</v>
      </c>
      <c r="K194" s="63">
        <v>0</v>
      </c>
      <c r="L194" s="58">
        <v>0</v>
      </c>
      <c r="M194" s="254"/>
      <c r="N194" s="238"/>
      <c r="O194" s="31"/>
      <c r="P194" s="31"/>
      <c r="Q194" s="31"/>
    </row>
    <row r="195" spans="1:17" x14ac:dyDescent="0.25">
      <c r="A195" s="251"/>
      <c r="B195" s="238"/>
      <c r="C195" s="252"/>
      <c r="D195" s="238"/>
      <c r="E195" s="253"/>
      <c r="F195" s="65" t="s">
        <v>10</v>
      </c>
      <c r="G195" s="57">
        <v>0</v>
      </c>
      <c r="H195" s="62">
        <v>0</v>
      </c>
      <c r="I195" s="62">
        <v>0</v>
      </c>
      <c r="J195" s="63">
        <v>0</v>
      </c>
      <c r="K195" s="63">
        <v>0</v>
      </c>
      <c r="L195" s="58">
        <v>0</v>
      </c>
      <c r="M195" s="254"/>
      <c r="N195" s="238"/>
      <c r="O195" s="31"/>
      <c r="P195" s="31"/>
      <c r="Q195" s="31"/>
    </row>
    <row r="196" spans="1:17" x14ac:dyDescent="0.25">
      <c r="A196" s="251"/>
      <c r="B196" s="238"/>
      <c r="C196" s="252"/>
      <c r="D196" s="238"/>
      <c r="E196" s="253"/>
      <c r="F196" s="65" t="s">
        <v>11</v>
      </c>
      <c r="G196" s="57">
        <v>0</v>
      </c>
      <c r="H196" s="62">
        <v>0</v>
      </c>
      <c r="I196" s="62">
        <v>0</v>
      </c>
      <c r="J196" s="63">
        <v>0</v>
      </c>
      <c r="K196" s="63">
        <v>0</v>
      </c>
      <c r="L196" s="58">
        <v>0</v>
      </c>
      <c r="M196" s="254"/>
      <c r="N196" s="238"/>
      <c r="O196" s="31"/>
      <c r="P196" s="31"/>
      <c r="Q196" s="31"/>
    </row>
    <row r="197" spans="1:17" ht="21" x14ac:dyDescent="0.25">
      <c r="A197" s="251" t="s">
        <v>221</v>
      </c>
      <c r="B197" s="238" t="s">
        <v>222</v>
      </c>
      <c r="C197" s="252" t="s">
        <v>205</v>
      </c>
      <c r="D197" s="238" t="s">
        <v>218</v>
      </c>
      <c r="E197" s="253" t="s">
        <v>223</v>
      </c>
      <c r="F197" s="64" t="s">
        <v>6</v>
      </c>
      <c r="G197" s="54">
        <v>40000</v>
      </c>
      <c r="H197" s="54">
        <v>1070000</v>
      </c>
      <c r="I197" s="54">
        <v>431436.19999999995</v>
      </c>
      <c r="J197" s="54">
        <v>0</v>
      </c>
      <c r="K197" s="54">
        <v>0</v>
      </c>
      <c r="L197" s="58">
        <v>0</v>
      </c>
      <c r="M197" s="254">
        <v>0</v>
      </c>
      <c r="N197" s="238" t="s">
        <v>224</v>
      </c>
      <c r="O197" s="31"/>
      <c r="P197" s="31"/>
      <c r="Q197" s="31"/>
    </row>
    <row r="198" spans="1:17" x14ac:dyDescent="0.25">
      <c r="A198" s="251"/>
      <c r="B198" s="238"/>
      <c r="C198" s="252"/>
      <c r="D198" s="238"/>
      <c r="E198" s="253"/>
      <c r="F198" s="65" t="s">
        <v>108</v>
      </c>
      <c r="G198" s="57">
        <v>1596</v>
      </c>
      <c r="H198" s="62">
        <v>331593</v>
      </c>
      <c r="I198" s="62">
        <v>133702.1</v>
      </c>
      <c r="J198" s="63">
        <v>0</v>
      </c>
      <c r="K198" s="63">
        <v>0</v>
      </c>
      <c r="L198" s="58">
        <v>0</v>
      </c>
      <c r="M198" s="254"/>
      <c r="N198" s="238"/>
      <c r="O198" s="31"/>
      <c r="P198" s="31"/>
      <c r="Q198" s="31"/>
    </row>
    <row r="199" spans="1:17" x14ac:dyDescent="0.25">
      <c r="A199" s="251"/>
      <c r="B199" s="238"/>
      <c r="C199" s="252"/>
      <c r="D199" s="238"/>
      <c r="E199" s="253"/>
      <c r="F199" s="65" t="s">
        <v>109</v>
      </c>
      <c r="G199" s="57">
        <v>38400</v>
      </c>
      <c r="H199" s="62">
        <v>738300</v>
      </c>
      <c r="I199" s="62">
        <v>297691</v>
      </c>
      <c r="J199" s="63">
        <v>0</v>
      </c>
      <c r="K199" s="63">
        <v>0</v>
      </c>
      <c r="L199" s="58">
        <v>0</v>
      </c>
      <c r="M199" s="254"/>
      <c r="N199" s="238"/>
      <c r="O199" s="31"/>
      <c r="P199" s="31"/>
      <c r="Q199" s="31"/>
    </row>
    <row r="200" spans="1:17" x14ac:dyDescent="0.25">
      <c r="A200" s="251"/>
      <c r="B200" s="238"/>
      <c r="C200" s="252"/>
      <c r="D200" s="238"/>
      <c r="E200" s="253"/>
      <c r="F200" s="65" t="s">
        <v>10</v>
      </c>
      <c r="G200" s="57">
        <v>4</v>
      </c>
      <c r="H200" s="62">
        <v>107</v>
      </c>
      <c r="I200" s="62">
        <v>43.1</v>
      </c>
      <c r="J200" s="63">
        <v>0</v>
      </c>
      <c r="K200" s="63">
        <v>0</v>
      </c>
      <c r="L200" s="58">
        <v>0</v>
      </c>
      <c r="M200" s="254"/>
      <c r="N200" s="238"/>
      <c r="O200" s="31"/>
      <c r="P200" s="31"/>
      <c r="Q200" s="31"/>
    </row>
    <row r="201" spans="1:17" x14ac:dyDescent="0.25">
      <c r="A201" s="251"/>
      <c r="B201" s="238"/>
      <c r="C201" s="252"/>
      <c r="D201" s="238"/>
      <c r="E201" s="253"/>
      <c r="F201" s="65" t="s">
        <v>11</v>
      </c>
      <c r="G201" s="57">
        <v>0</v>
      </c>
      <c r="H201" s="62">
        <v>0</v>
      </c>
      <c r="I201" s="62">
        <v>0</v>
      </c>
      <c r="J201" s="63">
        <v>0</v>
      </c>
      <c r="K201" s="63">
        <v>0</v>
      </c>
      <c r="L201" s="58">
        <v>0</v>
      </c>
      <c r="M201" s="254"/>
      <c r="N201" s="238"/>
      <c r="O201" s="31"/>
      <c r="P201" s="31"/>
      <c r="Q201" s="31"/>
    </row>
    <row r="202" spans="1:17" ht="21" x14ac:dyDescent="0.25">
      <c r="A202" s="251" t="s">
        <v>225</v>
      </c>
      <c r="B202" s="238" t="s">
        <v>226</v>
      </c>
      <c r="C202" s="252" t="s">
        <v>227</v>
      </c>
      <c r="D202" s="238" t="s">
        <v>218</v>
      </c>
      <c r="E202" s="253" t="s">
        <v>228</v>
      </c>
      <c r="F202" s="64" t="s">
        <v>6</v>
      </c>
      <c r="G202" s="54">
        <v>20393.8</v>
      </c>
      <c r="H202" s="54">
        <v>251707.50000000003</v>
      </c>
      <c r="I202" s="54">
        <v>179831.4</v>
      </c>
      <c r="J202" s="54">
        <v>0</v>
      </c>
      <c r="K202" s="54">
        <v>0</v>
      </c>
      <c r="L202" s="58">
        <v>0</v>
      </c>
      <c r="M202" s="239">
        <v>0</v>
      </c>
      <c r="N202" s="238" t="s">
        <v>229</v>
      </c>
      <c r="O202" s="31"/>
      <c r="P202" s="31"/>
      <c r="Q202" s="31"/>
    </row>
    <row r="203" spans="1:17" x14ac:dyDescent="0.25">
      <c r="A203" s="251"/>
      <c r="B203" s="238"/>
      <c r="C203" s="252"/>
      <c r="D203" s="238"/>
      <c r="E203" s="253"/>
      <c r="F203" s="65" t="s">
        <v>108</v>
      </c>
      <c r="G203" s="57">
        <v>20391.8</v>
      </c>
      <c r="H203" s="62">
        <v>78004.100000000006</v>
      </c>
      <c r="I203" s="62">
        <v>55729.7</v>
      </c>
      <c r="J203" s="63">
        <v>0</v>
      </c>
      <c r="K203" s="63">
        <v>0</v>
      </c>
      <c r="L203" s="58">
        <v>0</v>
      </c>
      <c r="M203" s="240"/>
      <c r="N203" s="238"/>
      <c r="O203" s="31"/>
      <c r="P203" s="31"/>
      <c r="Q203" s="31"/>
    </row>
    <row r="204" spans="1:17" x14ac:dyDescent="0.25">
      <c r="A204" s="251"/>
      <c r="B204" s="238"/>
      <c r="C204" s="252"/>
      <c r="D204" s="238"/>
      <c r="E204" s="253"/>
      <c r="F204" s="65" t="s">
        <v>109</v>
      </c>
      <c r="G204" s="57">
        <v>0</v>
      </c>
      <c r="H204" s="62">
        <v>173678.2</v>
      </c>
      <c r="I204" s="62">
        <v>124083.7</v>
      </c>
      <c r="J204" s="63">
        <v>0</v>
      </c>
      <c r="K204" s="63">
        <v>0</v>
      </c>
      <c r="L204" s="58">
        <v>0</v>
      </c>
      <c r="M204" s="240"/>
      <c r="N204" s="238"/>
      <c r="O204" s="31"/>
      <c r="P204" s="31"/>
      <c r="Q204" s="31"/>
    </row>
    <row r="205" spans="1:17" x14ac:dyDescent="0.25">
      <c r="A205" s="251"/>
      <c r="B205" s="238"/>
      <c r="C205" s="252"/>
      <c r="D205" s="238"/>
      <c r="E205" s="253"/>
      <c r="F205" s="65" t="s">
        <v>10</v>
      </c>
      <c r="G205" s="57">
        <v>2</v>
      </c>
      <c r="H205" s="62">
        <v>25.2</v>
      </c>
      <c r="I205" s="62">
        <v>18</v>
      </c>
      <c r="J205" s="63">
        <v>0</v>
      </c>
      <c r="K205" s="63">
        <v>0</v>
      </c>
      <c r="L205" s="58">
        <v>0</v>
      </c>
      <c r="M205" s="240"/>
      <c r="N205" s="238"/>
      <c r="O205" s="31"/>
      <c r="P205" s="31"/>
      <c r="Q205" s="31"/>
    </row>
    <row r="206" spans="1:17" x14ac:dyDescent="0.25">
      <c r="A206" s="251"/>
      <c r="B206" s="238"/>
      <c r="C206" s="252"/>
      <c r="D206" s="238"/>
      <c r="E206" s="253"/>
      <c r="F206" s="65" t="s">
        <v>11</v>
      </c>
      <c r="G206" s="57">
        <v>0</v>
      </c>
      <c r="H206" s="62">
        <v>0</v>
      </c>
      <c r="I206" s="62">
        <v>0</v>
      </c>
      <c r="J206" s="63">
        <v>0</v>
      </c>
      <c r="K206" s="63">
        <v>0</v>
      </c>
      <c r="L206" s="58">
        <v>0</v>
      </c>
      <c r="M206" s="240"/>
      <c r="N206" s="238"/>
      <c r="O206" s="31"/>
      <c r="P206" s="31"/>
      <c r="Q206" s="31"/>
    </row>
    <row r="207" spans="1:17" ht="21" x14ac:dyDescent="0.25">
      <c r="A207" s="251" t="s">
        <v>230</v>
      </c>
      <c r="B207" s="238" t="s">
        <v>231</v>
      </c>
      <c r="C207" s="252" t="s">
        <v>232</v>
      </c>
      <c r="D207" s="238" t="s">
        <v>218</v>
      </c>
      <c r="E207" s="253">
        <v>414714.7</v>
      </c>
      <c r="F207" s="64" t="s">
        <v>6</v>
      </c>
      <c r="G207" s="54">
        <v>15448</v>
      </c>
      <c r="H207" s="54">
        <v>175048.7</v>
      </c>
      <c r="I207" s="54">
        <v>0</v>
      </c>
      <c r="J207" s="54">
        <v>0</v>
      </c>
      <c r="K207" s="54">
        <v>0</v>
      </c>
      <c r="L207" s="58">
        <v>0</v>
      </c>
      <c r="M207" s="239">
        <v>0</v>
      </c>
      <c r="N207" s="238" t="s">
        <v>233</v>
      </c>
      <c r="O207" s="31"/>
      <c r="P207" s="31"/>
      <c r="Q207" s="31"/>
    </row>
    <row r="208" spans="1:17" x14ac:dyDescent="0.25">
      <c r="A208" s="251"/>
      <c r="B208" s="238"/>
      <c r="C208" s="252"/>
      <c r="D208" s="238"/>
      <c r="E208" s="253"/>
      <c r="F208" s="65" t="s">
        <v>108</v>
      </c>
      <c r="G208" s="57">
        <v>15446.5</v>
      </c>
      <c r="H208" s="62">
        <v>54247.6</v>
      </c>
      <c r="I208" s="62">
        <v>0</v>
      </c>
      <c r="J208" s="63">
        <v>0</v>
      </c>
      <c r="K208" s="63">
        <v>0</v>
      </c>
      <c r="L208" s="58">
        <v>0</v>
      </c>
      <c r="M208" s="240"/>
      <c r="N208" s="238"/>
      <c r="O208" s="31"/>
      <c r="P208" s="31"/>
      <c r="Q208" s="31"/>
    </row>
    <row r="209" spans="1:17" x14ac:dyDescent="0.25">
      <c r="A209" s="251"/>
      <c r="B209" s="238"/>
      <c r="C209" s="252"/>
      <c r="D209" s="238"/>
      <c r="E209" s="253"/>
      <c r="F209" s="65" t="s">
        <v>109</v>
      </c>
      <c r="G209" s="57">
        <v>0</v>
      </c>
      <c r="H209" s="62">
        <v>120783.6</v>
      </c>
      <c r="I209" s="62">
        <v>0</v>
      </c>
      <c r="J209" s="63">
        <v>0</v>
      </c>
      <c r="K209" s="63">
        <v>0</v>
      </c>
      <c r="L209" s="58">
        <v>0</v>
      </c>
      <c r="M209" s="240"/>
      <c r="N209" s="238"/>
      <c r="O209" s="31"/>
      <c r="P209" s="31"/>
      <c r="Q209" s="31"/>
    </row>
    <row r="210" spans="1:17" x14ac:dyDescent="0.25">
      <c r="A210" s="251"/>
      <c r="B210" s="238"/>
      <c r="C210" s="252"/>
      <c r="D210" s="238"/>
      <c r="E210" s="253"/>
      <c r="F210" s="65" t="s">
        <v>10</v>
      </c>
      <c r="G210" s="57">
        <v>1.5</v>
      </c>
      <c r="H210" s="62">
        <v>17.5</v>
      </c>
      <c r="I210" s="62">
        <v>0</v>
      </c>
      <c r="J210" s="63">
        <v>0</v>
      </c>
      <c r="K210" s="63">
        <v>0</v>
      </c>
      <c r="L210" s="58">
        <v>0</v>
      </c>
      <c r="M210" s="240"/>
      <c r="N210" s="238"/>
      <c r="O210" s="31"/>
      <c r="P210" s="31"/>
      <c r="Q210" s="31"/>
    </row>
    <row r="211" spans="1:17" x14ac:dyDescent="0.25">
      <c r="A211" s="251"/>
      <c r="B211" s="238"/>
      <c r="C211" s="252"/>
      <c r="D211" s="238"/>
      <c r="E211" s="253"/>
      <c r="F211" s="65" t="s">
        <v>11</v>
      </c>
      <c r="G211" s="57">
        <v>0</v>
      </c>
      <c r="H211" s="62">
        <v>0</v>
      </c>
      <c r="I211" s="62">
        <v>0</v>
      </c>
      <c r="J211" s="63">
        <v>0</v>
      </c>
      <c r="K211" s="63">
        <v>0</v>
      </c>
      <c r="L211" s="58">
        <v>0</v>
      </c>
      <c r="M211" s="240"/>
      <c r="N211" s="238"/>
      <c r="O211" s="31"/>
      <c r="P211" s="31"/>
      <c r="Q211" s="31"/>
    </row>
    <row r="212" spans="1:17" ht="21" x14ac:dyDescent="0.25">
      <c r="A212" s="251" t="s">
        <v>234</v>
      </c>
      <c r="B212" s="238" t="s">
        <v>235</v>
      </c>
      <c r="C212" s="252" t="s">
        <v>236</v>
      </c>
      <c r="D212" s="238" t="s">
        <v>218</v>
      </c>
      <c r="E212" s="253">
        <v>776643.1</v>
      </c>
      <c r="F212" s="64" t="s">
        <v>6</v>
      </c>
      <c r="G212" s="54">
        <v>15277</v>
      </c>
      <c r="H212" s="54">
        <v>295934</v>
      </c>
      <c r="I212" s="54">
        <v>76025.5</v>
      </c>
      <c r="J212" s="54">
        <v>0</v>
      </c>
      <c r="K212" s="54">
        <v>0</v>
      </c>
      <c r="L212" s="58">
        <v>0</v>
      </c>
      <c r="M212" s="239">
        <v>0</v>
      </c>
      <c r="N212" s="238" t="s">
        <v>224</v>
      </c>
      <c r="O212" s="31"/>
      <c r="P212" s="31"/>
      <c r="Q212" s="31"/>
    </row>
    <row r="213" spans="1:17" x14ac:dyDescent="0.25">
      <c r="A213" s="251"/>
      <c r="B213" s="238"/>
      <c r="C213" s="252"/>
      <c r="D213" s="238"/>
      <c r="E213" s="253"/>
      <c r="F213" s="65" t="s">
        <v>108</v>
      </c>
      <c r="G213" s="57">
        <v>15275.5</v>
      </c>
      <c r="H213" s="62">
        <v>91709.9</v>
      </c>
      <c r="I213" s="62">
        <v>23560.3</v>
      </c>
      <c r="J213" s="63">
        <v>0</v>
      </c>
      <c r="K213" s="63">
        <v>0</v>
      </c>
      <c r="L213" s="58">
        <v>0</v>
      </c>
      <c r="M213" s="240"/>
      <c r="N213" s="238"/>
      <c r="O213" s="31"/>
      <c r="P213" s="31"/>
      <c r="Q213" s="31"/>
    </row>
    <row r="214" spans="1:17" x14ac:dyDescent="0.25">
      <c r="A214" s="251"/>
      <c r="B214" s="238"/>
      <c r="C214" s="252"/>
      <c r="D214" s="238"/>
      <c r="E214" s="253"/>
      <c r="F214" s="65" t="s">
        <v>109</v>
      </c>
      <c r="G214" s="57">
        <v>0</v>
      </c>
      <c r="H214" s="62">
        <v>204194.5</v>
      </c>
      <c r="I214" s="62">
        <v>52457.599999999999</v>
      </c>
      <c r="J214" s="63">
        <v>0</v>
      </c>
      <c r="K214" s="63">
        <v>0</v>
      </c>
      <c r="L214" s="58">
        <v>0</v>
      </c>
      <c r="M214" s="240"/>
      <c r="N214" s="238"/>
      <c r="O214" s="31"/>
      <c r="P214" s="31"/>
      <c r="Q214" s="31"/>
    </row>
    <row r="215" spans="1:17" x14ac:dyDescent="0.25">
      <c r="A215" s="251"/>
      <c r="B215" s="238"/>
      <c r="C215" s="252"/>
      <c r="D215" s="238"/>
      <c r="E215" s="253"/>
      <c r="F215" s="65" t="s">
        <v>10</v>
      </c>
      <c r="G215" s="57">
        <v>1.5</v>
      </c>
      <c r="H215" s="62">
        <v>29.6</v>
      </c>
      <c r="I215" s="62">
        <v>7.6</v>
      </c>
      <c r="J215" s="63">
        <v>0</v>
      </c>
      <c r="K215" s="63">
        <v>0</v>
      </c>
      <c r="L215" s="58">
        <v>0</v>
      </c>
      <c r="M215" s="240"/>
      <c r="N215" s="238"/>
      <c r="O215" s="31"/>
      <c r="P215" s="31"/>
      <c r="Q215" s="31"/>
    </row>
    <row r="216" spans="1:17" x14ac:dyDescent="0.25">
      <c r="A216" s="251"/>
      <c r="B216" s="238"/>
      <c r="C216" s="252"/>
      <c r="D216" s="238"/>
      <c r="E216" s="253"/>
      <c r="F216" s="65" t="s">
        <v>11</v>
      </c>
      <c r="G216" s="57">
        <v>0</v>
      </c>
      <c r="H216" s="62">
        <v>0</v>
      </c>
      <c r="I216" s="62">
        <v>0</v>
      </c>
      <c r="J216" s="63">
        <v>0</v>
      </c>
      <c r="K216" s="63">
        <v>0</v>
      </c>
      <c r="L216" s="58">
        <v>0</v>
      </c>
      <c r="M216" s="240"/>
      <c r="N216" s="238"/>
      <c r="O216" s="31"/>
      <c r="P216" s="31"/>
      <c r="Q216" s="31"/>
    </row>
    <row r="217" spans="1:17" ht="21" x14ac:dyDescent="0.25">
      <c r="A217" s="251" t="s">
        <v>237</v>
      </c>
      <c r="B217" s="238" t="s">
        <v>238</v>
      </c>
      <c r="C217" s="252" t="s">
        <v>239</v>
      </c>
      <c r="D217" s="238" t="s">
        <v>218</v>
      </c>
      <c r="E217" s="253" t="s">
        <v>240</v>
      </c>
      <c r="F217" s="64" t="s">
        <v>6</v>
      </c>
      <c r="G217" s="54">
        <v>15448</v>
      </c>
      <c r="H217" s="54">
        <v>175048.7</v>
      </c>
      <c r="I217" s="54">
        <v>39926.699999999997</v>
      </c>
      <c r="J217" s="54">
        <v>0</v>
      </c>
      <c r="K217" s="54">
        <v>0</v>
      </c>
      <c r="L217" s="58">
        <v>0</v>
      </c>
      <c r="M217" s="239">
        <v>0</v>
      </c>
      <c r="N217" s="238" t="s">
        <v>224</v>
      </c>
      <c r="O217" s="31"/>
      <c r="P217" s="31"/>
      <c r="Q217" s="31"/>
    </row>
    <row r="218" spans="1:17" x14ac:dyDescent="0.25">
      <c r="A218" s="251"/>
      <c r="B218" s="238"/>
      <c r="C218" s="252"/>
      <c r="D218" s="238"/>
      <c r="E218" s="253"/>
      <c r="F218" s="65" t="s">
        <v>108</v>
      </c>
      <c r="G218" s="57">
        <v>15446.5</v>
      </c>
      <c r="H218" s="62">
        <v>54247.6</v>
      </c>
      <c r="I218" s="62">
        <v>12373.3</v>
      </c>
      <c r="J218" s="63">
        <v>0</v>
      </c>
      <c r="K218" s="63">
        <v>0</v>
      </c>
      <c r="L218" s="58">
        <v>0</v>
      </c>
      <c r="M218" s="240"/>
      <c r="N218" s="238"/>
      <c r="O218" s="31"/>
      <c r="P218" s="31"/>
      <c r="Q218" s="31"/>
    </row>
    <row r="219" spans="1:17" x14ac:dyDescent="0.25">
      <c r="A219" s="251"/>
      <c r="B219" s="238"/>
      <c r="C219" s="252"/>
      <c r="D219" s="238"/>
      <c r="E219" s="253"/>
      <c r="F219" s="65" t="s">
        <v>109</v>
      </c>
      <c r="G219" s="57">
        <v>0</v>
      </c>
      <c r="H219" s="62">
        <v>120783.6</v>
      </c>
      <c r="I219" s="62">
        <v>27549.4</v>
      </c>
      <c r="J219" s="63">
        <v>0</v>
      </c>
      <c r="K219" s="63">
        <v>0</v>
      </c>
      <c r="L219" s="58">
        <v>0</v>
      </c>
      <c r="M219" s="240"/>
      <c r="N219" s="238"/>
      <c r="O219" s="31"/>
      <c r="P219" s="31"/>
      <c r="Q219" s="31"/>
    </row>
    <row r="220" spans="1:17" x14ac:dyDescent="0.25">
      <c r="A220" s="251"/>
      <c r="B220" s="238"/>
      <c r="C220" s="252"/>
      <c r="D220" s="238"/>
      <c r="E220" s="253"/>
      <c r="F220" s="65" t="s">
        <v>10</v>
      </c>
      <c r="G220" s="57">
        <v>1.5</v>
      </c>
      <c r="H220" s="62">
        <v>17.5</v>
      </c>
      <c r="I220" s="62">
        <v>4</v>
      </c>
      <c r="J220" s="63">
        <v>0</v>
      </c>
      <c r="K220" s="63">
        <v>0</v>
      </c>
      <c r="L220" s="58">
        <v>0</v>
      </c>
      <c r="M220" s="240"/>
      <c r="N220" s="238"/>
      <c r="O220" s="31"/>
      <c r="P220" s="31"/>
      <c r="Q220" s="31"/>
    </row>
    <row r="221" spans="1:17" x14ac:dyDescent="0.25">
      <c r="A221" s="251"/>
      <c r="B221" s="238"/>
      <c r="C221" s="252"/>
      <c r="D221" s="238"/>
      <c r="E221" s="253"/>
      <c r="F221" s="65" t="s">
        <v>11</v>
      </c>
      <c r="G221" s="57">
        <v>0</v>
      </c>
      <c r="H221" s="62">
        <v>0</v>
      </c>
      <c r="I221" s="62">
        <v>0</v>
      </c>
      <c r="J221" s="63">
        <v>0</v>
      </c>
      <c r="K221" s="63">
        <v>0</v>
      </c>
      <c r="L221" s="58">
        <v>0</v>
      </c>
      <c r="M221" s="240"/>
      <c r="N221" s="238"/>
      <c r="O221" s="31"/>
      <c r="P221" s="31"/>
      <c r="Q221" s="31"/>
    </row>
    <row r="222" spans="1:17" ht="21" x14ac:dyDescent="0.25">
      <c r="A222" s="251" t="s">
        <v>241</v>
      </c>
      <c r="B222" s="238" t="s">
        <v>242</v>
      </c>
      <c r="C222" s="252" t="s">
        <v>243</v>
      </c>
      <c r="D222" s="238" t="s">
        <v>218</v>
      </c>
      <c r="E222" s="253">
        <v>781478.8</v>
      </c>
      <c r="F222" s="64" t="s">
        <v>6</v>
      </c>
      <c r="G222" s="54">
        <v>21505.1</v>
      </c>
      <c r="H222" s="54">
        <v>295824.69999999995</v>
      </c>
      <c r="I222" s="54">
        <v>0</v>
      </c>
      <c r="J222" s="54">
        <v>0</v>
      </c>
      <c r="K222" s="54">
        <v>0</v>
      </c>
      <c r="L222" s="58">
        <v>0</v>
      </c>
      <c r="M222" s="239">
        <v>0</v>
      </c>
      <c r="N222" s="238" t="s">
        <v>224</v>
      </c>
      <c r="O222" s="31"/>
      <c r="P222" s="31"/>
      <c r="Q222" s="31"/>
    </row>
    <row r="223" spans="1:17" x14ac:dyDescent="0.25">
      <c r="A223" s="251"/>
      <c r="B223" s="238"/>
      <c r="C223" s="252"/>
      <c r="D223" s="238"/>
      <c r="E223" s="253"/>
      <c r="F223" s="65" t="s">
        <v>108</v>
      </c>
      <c r="G223" s="57">
        <v>21503</v>
      </c>
      <c r="H223" s="62">
        <v>91676.1</v>
      </c>
      <c r="I223" s="62">
        <v>0</v>
      </c>
      <c r="J223" s="63">
        <v>0</v>
      </c>
      <c r="K223" s="63">
        <v>0</v>
      </c>
      <c r="L223" s="58">
        <v>0</v>
      </c>
      <c r="M223" s="240"/>
      <c r="N223" s="238"/>
      <c r="O223" s="31"/>
      <c r="P223" s="31"/>
      <c r="Q223" s="31"/>
    </row>
    <row r="224" spans="1:17" x14ac:dyDescent="0.25">
      <c r="A224" s="251"/>
      <c r="B224" s="238"/>
      <c r="C224" s="252"/>
      <c r="D224" s="238"/>
      <c r="E224" s="253"/>
      <c r="F224" s="65" t="s">
        <v>109</v>
      </c>
      <c r="G224" s="57">
        <v>0</v>
      </c>
      <c r="H224" s="62">
        <v>204119</v>
      </c>
      <c r="I224" s="62">
        <v>0</v>
      </c>
      <c r="J224" s="63">
        <v>0</v>
      </c>
      <c r="K224" s="63">
        <v>0</v>
      </c>
      <c r="L224" s="58">
        <v>0</v>
      </c>
      <c r="M224" s="240"/>
      <c r="N224" s="238"/>
      <c r="O224" s="31"/>
      <c r="P224" s="31"/>
      <c r="Q224" s="31"/>
    </row>
    <row r="225" spans="1:17" x14ac:dyDescent="0.25">
      <c r="A225" s="251"/>
      <c r="B225" s="238"/>
      <c r="C225" s="252"/>
      <c r="D225" s="238"/>
      <c r="E225" s="253"/>
      <c r="F225" s="65" t="s">
        <v>10</v>
      </c>
      <c r="G225" s="57">
        <v>2.1</v>
      </c>
      <c r="H225" s="62">
        <v>29.6</v>
      </c>
      <c r="I225" s="62">
        <v>0</v>
      </c>
      <c r="J225" s="63">
        <v>0</v>
      </c>
      <c r="K225" s="63">
        <v>0</v>
      </c>
      <c r="L225" s="58">
        <v>0</v>
      </c>
      <c r="M225" s="240"/>
      <c r="N225" s="238"/>
      <c r="O225" s="31"/>
      <c r="P225" s="31"/>
      <c r="Q225" s="31"/>
    </row>
    <row r="226" spans="1:17" x14ac:dyDescent="0.25">
      <c r="A226" s="251"/>
      <c r="B226" s="238"/>
      <c r="C226" s="252"/>
      <c r="D226" s="238"/>
      <c r="E226" s="253"/>
      <c r="F226" s="65" t="s">
        <v>11</v>
      </c>
      <c r="G226" s="57">
        <v>0</v>
      </c>
      <c r="H226" s="62">
        <v>0</v>
      </c>
      <c r="I226" s="62">
        <v>0</v>
      </c>
      <c r="J226" s="63">
        <v>0</v>
      </c>
      <c r="K226" s="63">
        <v>0</v>
      </c>
      <c r="L226" s="58">
        <v>0</v>
      </c>
      <c r="M226" s="240"/>
      <c r="N226" s="238"/>
      <c r="O226" s="31"/>
      <c r="P226" s="31"/>
      <c r="Q226" s="31"/>
    </row>
    <row r="227" spans="1:17" ht="21" x14ac:dyDescent="0.25">
      <c r="A227" s="251" t="s">
        <v>244</v>
      </c>
      <c r="B227" s="238" t="s">
        <v>245</v>
      </c>
      <c r="C227" s="252" t="s">
        <v>246</v>
      </c>
      <c r="D227" s="238" t="s">
        <v>218</v>
      </c>
      <c r="E227" s="253" t="s">
        <v>247</v>
      </c>
      <c r="F227" s="64" t="s">
        <v>6</v>
      </c>
      <c r="G227" s="54">
        <v>7238</v>
      </c>
      <c r="H227" s="54">
        <v>206912.30000000002</v>
      </c>
      <c r="I227" s="54">
        <v>0</v>
      </c>
      <c r="J227" s="54">
        <v>0</v>
      </c>
      <c r="K227" s="54">
        <v>0</v>
      </c>
      <c r="L227" s="58">
        <v>0</v>
      </c>
      <c r="M227" s="239">
        <v>0</v>
      </c>
      <c r="N227" s="238" t="s">
        <v>224</v>
      </c>
      <c r="O227" s="31"/>
      <c r="P227" s="31"/>
      <c r="Q227" s="31"/>
    </row>
    <row r="228" spans="1:17" x14ac:dyDescent="0.25">
      <c r="A228" s="251"/>
      <c r="B228" s="238"/>
      <c r="C228" s="252"/>
      <c r="D228" s="238"/>
      <c r="E228" s="253"/>
      <c r="F228" s="65" t="s">
        <v>108</v>
      </c>
      <c r="G228" s="57">
        <v>7237.3</v>
      </c>
      <c r="H228" s="62">
        <v>64122.1</v>
      </c>
      <c r="I228" s="62">
        <v>0</v>
      </c>
      <c r="J228" s="63">
        <v>0</v>
      </c>
      <c r="K228" s="63">
        <v>0</v>
      </c>
      <c r="L228" s="58">
        <v>0</v>
      </c>
      <c r="M228" s="240"/>
      <c r="N228" s="238"/>
      <c r="O228" s="31"/>
      <c r="P228" s="31"/>
      <c r="Q228" s="31"/>
    </row>
    <row r="229" spans="1:17" x14ac:dyDescent="0.25">
      <c r="A229" s="251"/>
      <c r="B229" s="238"/>
      <c r="C229" s="252"/>
      <c r="D229" s="238"/>
      <c r="E229" s="253"/>
      <c r="F229" s="65" t="s">
        <v>109</v>
      </c>
      <c r="G229" s="57">
        <v>0</v>
      </c>
      <c r="H229" s="62">
        <v>142769.5</v>
      </c>
      <c r="I229" s="62">
        <v>0</v>
      </c>
      <c r="J229" s="63">
        <v>0</v>
      </c>
      <c r="K229" s="63">
        <v>0</v>
      </c>
      <c r="L229" s="58">
        <v>0</v>
      </c>
      <c r="M229" s="240"/>
      <c r="N229" s="238"/>
      <c r="O229" s="31"/>
      <c r="P229" s="31"/>
      <c r="Q229" s="31"/>
    </row>
    <row r="230" spans="1:17" x14ac:dyDescent="0.25">
      <c r="A230" s="251"/>
      <c r="B230" s="238"/>
      <c r="C230" s="252"/>
      <c r="D230" s="238"/>
      <c r="E230" s="253"/>
      <c r="F230" s="65" t="s">
        <v>10</v>
      </c>
      <c r="G230" s="57">
        <v>0.7</v>
      </c>
      <c r="H230" s="62">
        <v>20.7</v>
      </c>
      <c r="I230" s="62">
        <v>0</v>
      </c>
      <c r="J230" s="63">
        <v>0</v>
      </c>
      <c r="K230" s="63">
        <v>0</v>
      </c>
      <c r="L230" s="58">
        <v>0</v>
      </c>
      <c r="M230" s="240"/>
      <c r="N230" s="238"/>
      <c r="O230" s="31"/>
      <c r="P230" s="31"/>
      <c r="Q230" s="31"/>
    </row>
    <row r="231" spans="1:17" x14ac:dyDescent="0.25">
      <c r="A231" s="251"/>
      <c r="B231" s="238"/>
      <c r="C231" s="252"/>
      <c r="D231" s="238"/>
      <c r="E231" s="253"/>
      <c r="F231" s="65" t="s">
        <v>11</v>
      </c>
      <c r="G231" s="57">
        <v>0</v>
      </c>
      <c r="H231" s="62">
        <v>0</v>
      </c>
      <c r="I231" s="62">
        <v>0</v>
      </c>
      <c r="J231" s="63">
        <v>0</v>
      </c>
      <c r="K231" s="63">
        <v>0</v>
      </c>
      <c r="L231" s="58">
        <v>0</v>
      </c>
      <c r="M231" s="240"/>
      <c r="N231" s="238"/>
      <c r="O231" s="31"/>
      <c r="P231" s="31"/>
      <c r="Q231" s="31"/>
    </row>
    <row r="232" spans="1:17" ht="21" x14ac:dyDescent="0.25">
      <c r="A232" s="251" t="s">
        <v>248</v>
      </c>
      <c r="B232" s="238" t="s">
        <v>249</v>
      </c>
      <c r="C232" s="252" t="s">
        <v>250</v>
      </c>
      <c r="D232" s="238" t="s">
        <v>218</v>
      </c>
      <c r="E232" s="253" t="s">
        <v>251</v>
      </c>
      <c r="F232" s="64" t="s">
        <v>6</v>
      </c>
      <c r="G232" s="54">
        <v>0</v>
      </c>
      <c r="H232" s="54">
        <v>151539.9</v>
      </c>
      <c r="I232" s="54">
        <v>0</v>
      </c>
      <c r="J232" s="54">
        <v>0</v>
      </c>
      <c r="K232" s="54">
        <v>0</v>
      </c>
      <c r="L232" s="58">
        <v>0</v>
      </c>
      <c r="M232" s="239">
        <v>0</v>
      </c>
      <c r="N232" s="238" t="s">
        <v>252</v>
      </c>
      <c r="O232" s="31"/>
      <c r="P232" s="31"/>
      <c r="Q232" s="31"/>
    </row>
    <row r="233" spans="1:17" x14ac:dyDescent="0.25">
      <c r="A233" s="251"/>
      <c r="B233" s="238"/>
      <c r="C233" s="252"/>
      <c r="D233" s="238"/>
      <c r="E233" s="253"/>
      <c r="F233" s="65" t="s">
        <v>108</v>
      </c>
      <c r="G233" s="57">
        <v>0</v>
      </c>
      <c r="H233" s="62">
        <v>46977.4</v>
      </c>
      <c r="I233" s="62">
        <v>0</v>
      </c>
      <c r="J233" s="63">
        <v>0</v>
      </c>
      <c r="K233" s="63">
        <v>0</v>
      </c>
      <c r="L233" s="58">
        <v>0</v>
      </c>
      <c r="M233" s="240"/>
      <c r="N233" s="238"/>
      <c r="O233" s="31"/>
      <c r="P233" s="31"/>
      <c r="Q233" s="31"/>
    </row>
    <row r="234" spans="1:17" x14ac:dyDescent="0.25">
      <c r="A234" s="251"/>
      <c r="B234" s="238"/>
      <c r="C234" s="252"/>
      <c r="D234" s="238"/>
      <c r="E234" s="253"/>
      <c r="F234" s="65" t="s">
        <v>109</v>
      </c>
      <c r="G234" s="57">
        <v>0</v>
      </c>
      <c r="H234" s="62">
        <v>104562.5</v>
      </c>
      <c r="I234" s="62">
        <v>0</v>
      </c>
      <c r="J234" s="63">
        <v>0</v>
      </c>
      <c r="K234" s="63">
        <v>0</v>
      </c>
      <c r="L234" s="58">
        <v>0</v>
      </c>
      <c r="M234" s="240"/>
      <c r="N234" s="238"/>
      <c r="O234" s="31"/>
      <c r="P234" s="31"/>
      <c r="Q234" s="31"/>
    </row>
    <row r="235" spans="1:17" x14ac:dyDescent="0.25">
      <c r="A235" s="251"/>
      <c r="B235" s="238"/>
      <c r="C235" s="252"/>
      <c r="D235" s="238"/>
      <c r="E235" s="253"/>
      <c r="F235" s="65" t="s">
        <v>10</v>
      </c>
      <c r="G235" s="57">
        <v>0</v>
      </c>
      <c r="H235" s="62">
        <v>0</v>
      </c>
      <c r="I235" s="62">
        <v>0</v>
      </c>
      <c r="J235" s="63">
        <v>0</v>
      </c>
      <c r="K235" s="63">
        <v>0</v>
      </c>
      <c r="L235" s="58">
        <v>0</v>
      </c>
      <c r="M235" s="240"/>
      <c r="N235" s="238"/>
      <c r="O235" s="31"/>
      <c r="P235" s="31"/>
      <c r="Q235" s="31"/>
    </row>
    <row r="236" spans="1:17" x14ac:dyDescent="0.25">
      <c r="A236" s="251"/>
      <c r="B236" s="238"/>
      <c r="C236" s="252"/>
      <c r="D236" s="238"/>
      <c r="E236" s="253"/>
      <c r="F236" s="65" t="s">
        <v>11</v>
      </c>
      <c r="G236" s="57">
        <v>0</v>
      </c>
      <c r="H236" s="62">
        <v>0</v>
      </c>
      <c r="I236" s="62">
        <v>0</v>
      </c>
      <c r="J236" s="63">
        <v>0</v>
      </c>
      <c r="K236" s="63">
        <v>0</v>
      </c>
      <c r="L236" s="58">
        <v>0</v>
      </c>
      <c r="M236" s="240"/>
      <c r="N236" s="238"/>
      <c r="O236" s="31"/>
      <c r="P236" s="31"/>
      <c r="Q236" s="31"/>
    </row>
    <row r="237" spans="1:17" x14ac:dyDescent="0.25">
      <c r="A237" s="255" t="s">
        <v>253</v>
      </c>
      <c r="B237" s="256"/>
      <c r="C237" s="256"/>
      <c r="D237" s="256"/>
      <c r="E237" s="256"/>
      <c r="F237" s="256"/>
      <c r="G237" s="256"/>
      <c r="H237" s="256"/>
      <c r="I237" s="256"/>
      <c r="J237" s="256"/>
      <c r="K237" s="256"/>
      <c r="L237" s="256"/>
      <c r="M237" s="256"/>
      <c r="N237" s="257"/>
      <c r="O237" s="31"/>
      <c r="P237" s="31"/>
      <c r="Q237" s="31"/>
    </row>
    <row r="238" spans="1:17" ht="21" x14ac:dyDescent="0.25">
      <c r="A238" s="251" t="s">
        <v>254</v>
      </c>
      <c r="B238" s="238" t="s">
        <v>255</v>
      </c>
      <c r="C238" s="252" t="s">
        <v>217</v>
      </c>
      <c r="D238" s="238" t="s">
        <v>256</v>
      </c>
      <c r="E238" s="253">
        <v>1185312.8999999999</v>
      </c>
      <c r="F238" s="64" t="s">
        <v>6</v>
      </c>
      <c r="G238" s="54">
        <v>638159.60000000009</v>
      </c>
      <c r="H238" s="54">
        <v>548547.80000000005</v>
      </c>
      <c r="I238" s="54">
        <v>1394.57212</v>
      </c>
      <c r="J238" s="54">
        <v>1394.57212</v>
      </c>
      <c r="K238" s="54">
        <v>0</v>
      </c>
      <c r="L238" s="58">
        <v>2.54229826461796E-3</v>
      </c>
      <c r="M238" s="258">
        <v>1.1765434426639584E-3</v>
      </c>
      <c r="N238" s="261" t="s">
        <v>257</v>
      </c>
      <c r="O238" s="31"/>
      <c r="P238" s="31"/>
      <c r="Q238" s="31"/>
    </row>
    <row r="239" spans="1:17" x14ac:dyDescent="0.25">
      <c r="A239" s="251"/>
      <c r="B239" s="238"/>
      <c r="C239" s="252"/>
      <c r="D239" s="238"/>
      <c r="E239" s="253"/>
      <c r="F239" s="65" t="s">
        <v>108</v>
      </c>
      <c r="G239" s="57">
        <v>515471.4</v>
      </c>
      <c r="H239" s="62">
        <v>548547.80000000005</v>
      </c>
      <c r="I239" s="62">
        <v>1394.57212</v>
      </c>
      <c r="J239" s="63">
        <v>1394.57212</v>
      </c>
      <c r="K239" s="63">
        <v>0</v>
      </c>
      <c r="L239" s="58">
        <v>2.54229826461796E-3</v>
      </c>
      <c r="M239" s="259"/>
      <c r="N239" s="261"/>
      <c r="O239" s="31"/>
      <c r="P239" s="31"/>
      <c r="Q239" s="31"/>
    </row>
    <row r="240" spans="1:17" x14ac:dyDescent="0.25">
      <c r="A240" s="251"/>
      <c r="B240" s="238"/>
      <c r="C240" s="252"/>
      <c r="D240" s="238"/>
      <c r="E240" s="253"/>
      <c r="F240" s="65" t="s">
        <v>109</v>
      </c>
      <c r="G240" s="57">
        <v>122688.20000000001</v>
      </c>
      <c r="H240" s="62">
        <v>0</v>
      </c>
      <c r="I240" s="62">
        <v>0</v>
      </c>
      <c r="J240" s="63">
        <v>0</v>
      </c>
      <c r="K240" s="63">
        <v>0</v>
      </c>
      <c r="L240" s="58">
        <v>0</v>
      </c>
      <c r="M240" s="259"/>
      <c r="N240" s="261"/>
      <c r="O240" s="31"/>
      <c r="P240" s="31"/>
      <c r="Q240" s="31"/>
    </row>
    <row r="241" spans="1:17" x14ac:dyDescent="0.25">
      <c r="A241" s="251"/>
      <c r="B241" s="238"/>
      <c r="C241" s="252"/>
      <c r="D241" s="238"/>
      <c r="E241" s="253"/>
      <c r="F241" s="65" t="s">
        <v>10</v>
      </c>
      <c r="G241" s="57">
        <v>0</v>
      </c>
      <c r="H241" s="62">
        <v>0</v>
      </c>
      <c r="I241" s="62">
        <v>0</v>
      </c>
      <c r="J241" s="63">
        <v>0</v>
      </c>
      <c r="K241" s="63">
        <v>0</v>
      </c>
      <c r="L241" s="58">
        <v>0</v>
      </c>
      <c r="M241" s="259"/>
      <c r="N241" s="261"/>
      <c r="O241" s="31"/>
      <c r="P241" s="31"/>
      <c r="Q241" s="31"/>
    </row>
    <row r="242" spans="1:17" x14ac:dyDescent="0.25">
      <c r="A242" s="251"/>
      <c r="B242" s="238"/>
      <c r="C242" s="252"/>
      <c r="D242" s="238"/>
      <c r="E242" s="253"/>
      <c r="F242" s="65" t="s">
        <v>11</v>
      </c>
      <c r="G242" s="57">
        <v>0</v>
      </c>
      <c r="H242" s="62">
        <v>0</v>
      </c>
      <c r="I242" s="62">
        <v>0</v>
      </c>
      <c r="J242" s="63">
        <v>0</v>
      </c>
      <c r="K242" s="63">
        <v>0</v>
      </c>
      <c r="L242" s="58">
        <v>0</v>
      </c>
      <c r="M242" s="260"/>
      <c r="N242" s="261"/>
      <c r="O242" s="31"/>
      <c r="P242" s="31"/>
      <c r="Q242" s="31"/>
    </row>
    <row r="243" spans="1:17" ht="21" x14ac:dyDescent="0.25">
      <c r="A243" s="251" t="s">
        <v>258</v>
      </c>
      <c r="B243" s="238" t="s">
        <v>259</v>
      </c>
      <c r="C243" s="252" t="s">
        <v>217</v>
      </c>
      <c r="D243" s="238" t="s">
        <v>260</v>
      </c>
      <c r="E243" s="253">
        <v>977804.1</v>
      </c>
      <c r="F243" s="64" t="s">
        <v>6</v>
      </c>
      <c r="G243" s="54">
        <v>801791.96</v>
      </c>
      <c r="H243" s="54">
        <v>176012.17082</v>
      </c>
      <c r="I243" s="54">
        <v>28732.505509999999</v>
      </c>
      <c r="J243" s="54">
        <v>28732.505509999999</v>
      </c>
      <c r="K243" s="54">
        <v>0</v>
      </c>
      <c r="L243" s="58">
        <v>0.16324158367084446</v>
      </c>
      <c r="M243" s="258">
        <v>2.9384725948684402E-2</v>
      </c>
      <c r="N243" s="261" t="s">
        <v>261</v>
      </c>
      <c r="O243" s="31"/>
      <c r="P243" s="31"/>
      <c r="Q243" s="31"/>
    </row>
    <row r="244" spans="1:17" x14ac:dyDescent="0.25">
      <c r="A244" s="251"/>
      <c r="B244" s="238"/>
      <c r="C244" s="252"/>
      <c r="D244" s="238"/>
      <c r="E244" s="253"/>
      <c r="F244" s="65" t="s">
        <v>108</v>
      </c>
      <c r="G244" s="57">
        <v>50949.599999999999</v>
      </c>
      <c r="H244" s="62">
        <v>176012.17082</v>
      </c>
      <c r="I244" s="62">
        <v>28732.505509999999</v>
      </c>
      <c r="J244" s="63">
        <v>28732.505509999999</v>
      </c>
      <c r="K244" s="63">
        <v>0</v>
      </c>
      <c r="L244" s="58">
        <v>0.16324158367084446</v>
      </c>
      <c r="M244" s="259"/>
      <c r="N244" s="261"/>
      <c r="O244" s="31"/>
      <c r="P244" s="31"/>
      <c r="Q244" s="31"/>
    </row>
    <row r="245" spans="1:17" x14ac:dyDescent="0.25">
      <c r="A245" s="251"/>
      <c r="B245" s="238"/>
      <c r="C245" s="252"/>
      <c r="D245" s="238"/>
      <c r="E245" s="253"/>
      <c r="F245" s="65" t="s">
        <v>109</v>
      </c>
      <c r="G245" s="57">
        <v>750842.36</v>
      </c>
      <c r="H245" s="62">
        <v>0</v>
      </c>
      <c r="I245" s="62">
        <v>0</v>
      </c>
      <c r="J245" s="63">
        <v>0</v>
      </c>
      <c r="K245" s="63">
        <v>0</v>
      </c>
      <c r="L245" s="58">
        <v>0</v>
      </c>
      <c r="M245" s="259"/>
      <c r="N245" s="261"/>
      <c r="O245" s="31"/>
      <c r="P245" s="31"/>
      <c r="Q245" s="31"/>
    </row>
    <row r="246" spans="1:17" x14ac:dyDescent="0.25">
      <c r="A246" s="251"/>
      <c r="B246" s="238"/>
      <c r="C246" s="252"/>
      <c r="D246" s="238"/>
      <c r="E246" s="253"/>
      <c r="F246" s="65" t="s">
        <v>10</v>
      </c>
      <c r="G246" s="57">
        <v>0</v>
      </c>
      <c r="H246" s="62">
        <v>0</v>
      </c>
      <c r="I246" s="62">
        <v>0</v>
      </c>
      <c r="J246" s="63">
        <v>0</v>
      </c>
      <c r="K246" s="63">
        <v>0</v>
      </c>
      <c r="L246" s="58">
        <v>0</v>
      </c>
      <c r="M246" s="259"/>
      <c r="N246" s="261"/>
      <c r="O246" s="31"/>
      <c r="P246" s="31"/>
      <c r="Q246" s="31"/>
    </row>
    <row r="247" spans="1:17" x14ac:dyDescent="0.25">
      <c r="A247" s="251"/>
      <c r="B247" s="238"/>
      <c r="C247" s="252"/>
      <c r="D247" s="238"/>
      <c r="E247" s="253"/>
      <c r="F247" s="65" t="s">
        <v>11</v>
      </c>
      <c r="G247" s="57">
        <v>0</v>
      </c>
      <c r="H247" s="62">
        <v>0</v>
      </c>
      <c r="I247" s="62">
        <v>0</v>
      </c>
      <c r="J247" s="63">
        <v>0</v>
      </c>
      <c r="K247" s="63">
        <v>0</v>
      </c>
      <c r="L247" s="58">
        <v>0</v>
      </c>
      <c r="M247" s="260"/>
      <c r="N247" s="261"/>
      <c r="O247" s="31"/>
      <c r="P247" s="31"/>
      <c r="Q247" s="31"/>
    </row>
    <row r="248" spans="1:17" ht="21" x14ac:dyDescent="0.25">
      <c r="A248" s="251" t="s">
        <v>262</v>
      </c>
      <c r="B248" s="238" t="s">
        <v>263</v>
      </c>
      <c r="C248" s="252" t="s">
        <v>217</v>
      </c>
      <c r="D248" s="238" t="s">
        <v>264</v>
      </c>
      <c r="E248" s="253">
        <v>655818</v>
      </c>
      <c r="F248" s="64" t="s">
        <v>6</v>
      </c>
      <c r="G248" s="54">
        <v>623965.69999999995</v>
      </c>
      <c r="H248" s="54">
        <v>31852.76426</v>
      </c>
      <c r="I248" s="54">
        <v>27537.650310000001</v>
      </c>
      <c r="J248" s="54">
        <v>27537.650310000001</v>
      </c>
      <c r="K248" s="54">
        <v>0</v>
      </c>
      <c r="L248" s="58">
        <v>0.86452937287396359</v>
      </c>
      <c r="M248" s="258">
        <v>4.1989775074792096E-2</v>
      </c>
      <c r="N248" s="185" t="s">
        <v>265</v>
      </c>
      <c r="O248" s="31"/>
      <c r="P248" s="31"/>
      <c r="Q248" s="31"/>
    </row>
    <row r="249" spans="1:17" x14ac:dyDescent="0.25">
      <c r="A249" s="251"/>
      <c r="B249" s="238"/>
      <c r="C249" s="252"/>
      <c r="D249" s="238"/>
      <c r="E249" s="253"/>
      <c r="F249" s="65" t="s">
        <v>108</v>
      </c>
      <c r="G249" s="57">
        <v>144671.69999999998</v>
      </c>
      <c r="H249" s="62">
        <v>31852.76426</v>
      </c>
      <c r="I249" s="62">
        <v>27537.650310000001</v>
      </c>
      <c r="J249" s="63">
        <v>27537.650310000001</v>
      </c>
      <c r="K249" s="63">
        <v>0</v>
      </c>
      <c r="L249" s="58">
        <v>0.86452937287396359</v>
      </c>
      <c r="M249" s="259"/>
      <c r="N249" s="186"/>
      <c r="O249" s="31"/>
      <c r="P249" s="31"/>
      <c r="Q249" s="31"/>
    </row>
    <row r="250" spans="1:17" x14ac:dyDescent="0.25">
      <c r="A250" s="251"/>
      <c r="B250" s="238"/>
      <c r="C250" s="252"/>
      <c r="D250" s="238"/>
      <c r="E250" s="253"/>
      <c r="F250" s="65" t="s">
        <v>109</v>
      </c>
      <c r="G250" s="57">
        <v>479294</v>
      </c>
      <c r="H250" s="62">
        <v>0</v>
      </c>
      <c r="I250" s="62">
        <v>0</v>
      </c>
      <c r="J250" s="63">
        <v>0</v>
      </c>
      <c r="K250" s="63">
        <v>0</v>
      </c>
      <c r="L250" s="58">
        <v>0</v>
      </c>
      <c r="M250" s="259"/>
      <c r="N250" s="186"/>
      <c r="O250" s="31"/>
      <c r="P250" s="31"/>
      <c r="Q250" s="31"/>
    </row>
    <row r="251" spans="1:17" x14ac:dyDescent="0.25">
      <c r="A251" s="251"/>
      <c r="B251" s="238"/>
      <c r="C251" s="252"/>
      <c r="D251" s="238"/>
      <c r="E251" s="253"/>
      <c r="F251" s="65" t="s">
        <v>10</v>
      </c>
      <c r="G251" s="57">
        <v>0</v>
      </c>
      <c r="H251" s="62">
        <v>0</v>
      </c>
      <c r="I251" s="62">
        <v>0</v>
      </c>
      <c r="J251" s="63">
        <v>0</v>
      </c>
      <c r="K251" s="63">
        <v>0</v>
      </c>
      <c r="L251" s="58">
        <v>0</v>
      </c>
      <c r="M251" s="259"/>
      <c r="N251" s="186"/>
      <c r="O251" s="31"/>
      <c r="P251" s="31"/>
      <c r="Q251" s="31"/>
    </row>
    <row r="252" spans="1:17" x14ac:dyDescent="0.25">
      <c r="A252" s="251"/>
      <c r="B252" s="238"/>
      <c r="C252" s="252"/>
      <c r="D252" s="238"/>
      <c r="E252" s="253"/>
      <c r="F252" s="65" t="s">
        <v>11</v>
      </c>
      <c r="G252" s="57">
        <v>0</v>
      </c>
      <c r="H252" s="62">
        <v>0</v>
      </c>
      <c r="I252" s="62">
        <v>0</v>
      </c>
      <c r="J252" s="63">
        <v>0</v>
      </c>
      <c r="K252" s="63">
        <v>0</v>
      </c>
      <c r="L252" s="58">
        <v>0</v>
      </c>
      <c r="M252" s="260"/>
      <c r="N252" s="187"/>
      <c r="O252" s="31"/>
      <c r="P252" s="31"/>
      <c r="Q252" s="31"/>
    </row>
    <row r="253" spans="1:17" ht="21" x14ac:dyDescent="0.25">
      <c r="A253" s="251" t="s">
        <v>266</v>
      </c>
      <c r="B253" s="238" t="s">
        <v>267</v>
      </c>
      <c r="C253" s="252" t="s">
        <v>217</v>
      </c>
      <c r="D253" s="238" t="s">
        <v>268</v>
      </c>
      <c r="E253" s="253">
        <v>145734.79999999999</v>
      </c>
      <c r="F253" s="64" t="s">
        <v>6</v>
      </c>
      <c r="G253" s="66">
        <v>78323.793380000003</v>
      </c>
      <c r="H253" s="66">
        <v>67329.217009999993</v>
      </c>
      <c r="I253" s="66">
        <v>0</v>
      </c>
      <c r="J253" s="66">
        <v>0</v>
      </c>
      <c r="K253" s="66">
        <v>0</v>
      </c>
      <c r="L253" s="66">
        <v>0</v>
      </c>
      <c r="M253" s="276">
        <v>0</v>
      </c>
      <c r="N253" s="185" t="s">
        <v>269</v>
      </c>
      <c r="O253" s="31"/>
      <c r="P253" s="31"/>
      <c r="Q253" s="31"/>
    </row>
    <row r="254" spans="1:17" x14ac:dyDescent="0.25">
      <c r="A254" s="251"/>
      <c r="B254" s="238"/>
      <c r="C254" s="252"/>
      <c r="D254" s="238"/>
      <c r="E254" s="253"/>
      <c r="F254" s="65" t="s">
        <v>108</v>
      </c>
      <c r="G254" s="67">
        <v>13528.72027</v>
      </c>
      <c r="H254" s="65">
        <v>67329.217009999993</v>
      </c>
      <c r="I254" s="67">
        <v>0</v>
      </c>
      <c r="J254" s="67">
        <v>0</v>
      </c>
      <c r="K254" s="62">
        <v>0</v>
      </c>
      <c r="L254" s="62">
        <v>0</v>
      </c>
      <c r="M254" s="277"/>
      <c r="N254" s="186"/>
      <c r="O254" s="31"/>
      <c r="P254" s="31"/>
      <c r="Q254" s="31"/>
    </row>
    <row r="255" spans="1:17" x14ac:dyDescent="0.25">
      <c r="A255" s="251"/>
      <c r="B255" s="238"/>
      <c r="C255" s="252"/>
      <c r="D255" s="238"/>
      <c r="E255" s="253"/>
      <c r="F255" s="65" t="s">
        <v>109</v>
      </c>
      <c r="G255" s="67">
        <v>64795.073109999998</v>
      </c>
      <c r="H255" s="65">
        <v>0</v>
      </c>
      <c r="I255" s="67">
        <v>0</v>
      </c>
      <c r="J255" s="67">
        <v>0</v>
      </c>
      <c r="K255" s="62">
        <v>0</v>
      </c>
      <c r="L255" s="62">
        <v>0</v>
      </c>
      <c r="M255" s="277"/>
      <c r="N255" s="186"/>
      <c r="O255" s="31"/>
      <c r="P255" s="31"/>
      <c r="Q255" s="31"/>
    </row>
    <row r="256" spans="1:17" x14ac:dyDescent="0.25">
      <c r="A256" s="251"/>
      <c r="B256" s="238"/>
      <c r="C256" s="252"/>
      <c r="D256" s="238"/>
      <c r="E256" s="253"/>
      <c r="F256" s="65" t="s">
        <v>10</v>
      </c>
      <c r="G256" s="67">
        <v>0</v>
      </c>
      <c r="H256" s="65">
        <v>0</v>
      </c>
      <c r="I256" s="67">
        <v>0</v>
      </c>
      <c r="J256" s="67">
        <v>0</v>
      </c>
      <c r="K256" s="62">
        <v>0</v>
      </c>
      <c r="L256" s="62">
        <v>0</v>
      </c>
      <c r="M256" s="277"/>
      <c r="N256" s="186"/>
      <c r="O256" s="31"/>
      <c r="P256" s="31"/>
      <c r="Q256" s="31"/>
    </row>
    <row r="257" spans="1:17" x14ac:dyDescent="0.25">
      <c r="A257" s="251"/>
      <c r="B257" s="238"/>
      <c r="C257" s="252"/>
      <c r="D257" s="238"/>
      <c r="E257" s="253"/>
      <c r="F257" s="65" t="s">
        <v>11</v>
      </c>
      <c r="G257" s="67">
        <v>0</v>
      </c>
      <c r="H257" s="65">
        <v>0</v>
      </c>
      <c r="I257" s="67">
        <v>0</v>
      </c>
      <c r="J257" s="67">
        <v>0</v>
      </c>
      <c r="K257" s="62">
        <v>0</v>
      </c>
      <c r="L257" s="62">
        <v>0</v>
      </c>
      <c r="M257" s="278"/>
      <c r="N257" s="187"/>
      <c r="O257" s="31"/>
      <c r="P257" s="31"/>
      <c r="Q257" s="31"/>
    </row>
    <row r="258" spans="1:17" ht="21" x14ac:dyDescent="0.25">
      <c r="A258" s="190" t="s">
        <v>270</v>
      </c>
      <c r="B258" s="191"/>
      <c r="C258" s="191"/>
      <c r="D258" s="191"/>
      <c r="E258" s="191"/>
      <c r="F258" s="34" t="s">
        <v>6</v>
      </c>
      <c r="G258" s="68">
        <f>SUM(G259:G260)</f>
        <v>381188.08523999999</v>
      </c>
      <c r="H258" s="68">
        <f>SUM(H259:H260)</f>
        <v>1300015.8</v>
      </c>
      <c r="I258" s="68">
        <f>SUM(I259:I260)</f>
        <v>39218.31</v>
      </c>
      <c r="J258" s="68">
        <f>J260</f>
        <v>39218.31</v>
      </c>
      <c r="K258" s="68">
        <v>0</v>
      </c>
      <c r="L258" s="69">
        <f>J258/H258</f>
        <v>3.0167564117297648E-2</v>
      </c>
      <c r="M258" s="262"/>
      <c r="N258" s="263"/>
      <c r="O258" s="31"/>
      <c r="P258" s="31"/>
      <c r="Q258" s="31"/>
    </row>
    <row r="259" spans="1:17" x14ac:dyDescent="0.25">
      <c r="A259" s="190"/>
      <c r="B259" s="191"/>
      <c r="C259" s="191"/>
      <c r="D259" s="191"/>
      <c r="E259" s="191"/>
      <c r="F259" s="34" t="s">
        <v>8</v>
      </c>
      <c r="G259" s="68">
        <f>G263</f>
        <v>300000</v>
      </c>
      <c r="H259" s="68">
        <v>0</v>
      </c>
      <c r="I259" s="68">
        <v>0</v>
      </c>
      <c r="J259" s="68">
        <v>0</v>
      </c>
      <c r="K259" s="68">
        <v>0</v>
      </c>
      <c r="L259" s="69">
        <v>0</v>
      </c>
      <c r="M259" s="262"/>
      <c r="N259" s="263"/>
      <c r="O259" s="31"/>
      <c r="P259" s="31"/>
      <c r="Q259" s="31"/>
    </row>
    <row r="260" spans="1:17" x14ac:dyDescent="0.25">
      <c r="A260" s="191"/>
      <c r="B260" s="191"/>
      <c r="C260" s="191"/>
      <c r="D260" s="191"/>
      <c r="E260" s="191"/>
      <c r="F260" s="34" t="s">
        <v>11</v>
      </c>
      <c r="G260" s="68">
        <f>G266</f>
        <v>81188.08524</v>
      </c>
      <c r="H260" s="68">
        <f>H266</f>
        <v>1300015.8</v>
      </c>
      <c r="I260" s="68">
        <f>I266</f>
        <v>39218.31</v>
      </c>
      <c r="J260" s="68">
        <f>J266</f>
        <v>39218.31</v>
      </c>
      <c r="K260" s="68">
        <v>0</v>
      </c>
      <c r="L260" s="69">
        <f>J260/H260</f>
        <v>3.0167564117297648E-2</v>
      </c>
      <c r="M260" s="262"/>
      <c r="N260" s="263"/>
      <c r="O260" s="31"/>
      <c r="P260" s="31"/>
      <c r="Q260" s="31"/>
    </row>
    <row r="261" spans="1:17" x14ac:dyDescent="0.25">
      <c r="A261" s="139" t="s">
        <v>271</v>
      </c>
      <c r="B261" s="140"/>
      <c r="C261" s="140"/>
      <c r="D261" s="140"/>
      <c r="E261" s="140"/>
      <c r="F261" s="140"/>
      <c r="G261" s="140"/>
      <c r="H261" s="140"/>
      <c r="I261" s="140"/>
      <c r="J261" s="140"/>
      <c r="K261" s="140"/>
      <c r="L261" s="140"/>
      <c r="M261" s="140"/>
      <c r="N261" s="140"/>
      <c r="O261" s="31"/>
      <c r="P261" s="31"/>
      <c r="Q261" s="31"/>
    </row>
    <row r="262" spans="1:17" ht="21" x14ac:dyDescent="0.25">
      <c r="A262" s="264">
        <v>43</v>
      </c>
      <c r="B262" s="267" t="s">
        <v>272</v>
      </c>
      <c r="C262" s="269" t="s">
        <v>273</v>
      </c>
      <c r="D262" s="264" t="s">
        <v>274</v>
      </c>
      <c r="E262" s="273">
        <v>2225466.7000000002</v>
      </c>
      <c r="F262" s="70" t="s">
        <v>6</v>
      </c>
      <c r="G262" s="71">
        <f>SUM(G263:G266)</f>
        <v>381188.08523999999</v>
      </c>
      <c r="H262" s="71">
        <f t="shared" ref="H262:K262" si="48">SUM(H263:H266)</f>
        <v>1300015.8</v>
      </c>
      <c r="I262" s="71">
        <f t="shared" si="48"/>
        <v>39218.31</v>
      </c>
      <c r="J262" s="71">
        <f t="shared" si="48"/>
        <v>39218.31</v>
      </c>
      <c r="K262" s="71">
        <f t="shared" si="48"/>
        <v>0</v>
      </c>
      <c r="L262" s="72">
        <f t="shared" ref="L262:L266" si="49">IFERROR(J262/H262,0)</f>
        <v>3.0167564117297648E-2</v>
      </c>
      <c r="M262" s="280">
        <v>5.3999999999999999E-2</v>
      </c>
      <c r="N262" s="281" t="s">
        <v>275</v>
      </c>
      <c r="O262" s="31"/>
      <c r="P262" s="31"/>
      <c r="Q262" s="31"/>
    </row>
    <row r="263" spans="1:17" x14ac:dyDescent="0.25">
      <c r="A263" s="265"/>
      <c r="B263" s="268"/>
      <c r="C263" s="270"/>
      <c r="D263" s="271"/>
      <c r="E263" s="274"/>
      <c r="F263" s="32" t="s">
        <v>108</v>
      </c>
      <c r="G263" s="73">
        <v>300000</v>
      </c>
      <c r="H263" s="73">
        <v>0</v>
      </c>
      <c r="I263" s="73">
        <v>0</v>
      </c>
      <c r="J263" s="73">
        <v>0</v>
      </c>
      <c r="K263" s="73">
        <v>0</v>
      </c>
      <c r="L263" s="74">
        <f t="shared" si="49"/>
        <v>0</v>
      </c>
      <c r="M263" s="271"/>
      <c r="N263" s="281"/>
      <c r="O263" s="31"/>
      <c r="P263" s="31"/>
      <c r="Q263" s="31"/>
    </row>
    <row r="264" spans="1:17" x14ac:dyDescent="0.25">
      <c r="A264" s="265"/>
      <c r="B264" s="268"/>
      <c r="C264" s="270"/>
      <c r="D264" s="271"/>
      <c r="E264" s="274"/>
      <c r="F264" s="32" t="s">
        <v>109</v>
      </c>
      <c r="G264" s="73">
        <v>0</v>
      </c>
      <c r="H264" s="73">
        <v>0</v>
      </c>
      <c r="I264" s="73">
        <v>0</v>
      </c>
      <c r="J264" s="73">
        <v>0</v>
      </c>
      <c r="K264" s="73">
        <v>0</v>
      </c>
      <c r="L264" s="74">
        <f t="shared" si="49"/>
        <v>0</v>
      </c>
      <c r="M264" s="271"/>
      <c r="N264" s="281"/>
      <c r="O264" s="31"/>
      <c r="P264" s="31"/>
      <c r="Q264" s="31"/>
    </row>
    <row r="265" spans="1:17" x14ac:dyDescent="0.25">
      <c r="A265" s="265"/>
      <c r="B265" s="268"/>
      <c r="C265" s="270"/>
      <c r="D265" s="271"/>
      <c r="E265" s="274"/>
      <c r="F265" s="32" t="s">
        <v>10</v>
      </c>
      <c r="G265" s="73">
        <v>0</v>
      </c>
      <c r="H265" s="73">
        <v>0</v>
      </c>
      <c r="I265" s="73">
        <v>0</v>
      </c>
      <c r="J265" s="73">
        <v>0</v>
      </c>
      <c r="K265" s="73">
        <v>0</v>
      </c>
      <c r="L265" s="74">
        <f t="shared" si="49"/>
        <v>0</v>
      </c>
      <c r="M265" s="271"/>
      <c r="N265" s="281"/>
      <c r="O265" s="31"/>
      <c r="P265" s="31"/>
      <c r="Q265" s="31"/>
    </row>
    <row r="266" spans="1:17" x14ac:dyDescent="0.25">
      <c r="A266" s="266"/>
      <c r="B266" s="268"/>
      <c r="C266" s="270"/>
      <c r="D266" s="272"/>
      <c r="E266" s="275"/>
      <c r="F266" s="32" t="s">
        <v>11</v>
      </c>
      <c r="G266" s="73">
        <v>81188.08524</v>
      </c>
      <c r="H266" s="73">
        <v>1300015.8</v>
      </c>
      <c r="I266" s="73">
        <v>39218.31</v>
      </c>
      <c r="J266" s="73">
        <v>39218.31</v>
      </c>
      <c r="K266" s="73">
        <v>0</v>
      </c>
      <c r="L266" s="74">
        <f t="shared" si="49"/>
        <v>3.0167564117297648E-2</v>
      </c>
      <c r="M266" s="272"/>
      <c r="N266" s="281"/>
      <c r="O266" s="31"/>
      <c r="P266" s="31"/>
      <c r="Q266" s="31"/>
    </row>
    <row r="267" spans="1:17" ht="21" x14ac:dyDescent="0.25">
      <c r="A267" s="190" t="s">
        <v>51</v>
      </c>
      <c r="B267" s="191"/>
      <c r="C267" s="191"/>
      <c r="D267" s="191"/>
      <c r="E267" s="191"/>
      <c r="F267" s="34" t="s">
        <v>6</v>
      </c>
      <c r="G267" s="68">
        <f>SUM(G268:G270)</f>
        <v>2687720.6</v>
      </c>
      <c r="H267" s="68">
        <f>SUM(H268:H270)</f>
        <v>6259532.9480000008</v>
      </c>
      <c r="I267" s="68">
        <f>SUM(I268:I270)</f>
        <v>1453.5</v>
      </c>
      <c r="J267" s="68">
        <f>SUM(J268:J270)</f>
        <v>1453.5</v>
      </c>
      <c r="K267" s="68">
        <v>0</v>
      </c>
      <c r="L267" s="69">
        <f>J267/H267</f>
        <v>2.3220582303419481E-4</v>
      </c>
      <c r="M267" s="282"/>
      <c r="N267" s="263"/>
      <c r="O267" s="31"/>
      <c r="P267" s="31"/>
      <c r="Q267" s="31"/>
    </row>
    <row r="268" spans="1:17" x14ac:dyDescent="0.25">
      <c r="A268" s="191"/>
      <c r="B268" s="191"/>
      <c r="C268" s="191"/>
      <c r="D268" s="191"/>
      <c r="E268" s="191"/>
      <c r="F268" s="34" t="s">
        <v>108</v>
      </c>
      <c r="G268" s="68">
        <f>SUM(G273+G279)</f>
        <v>2687720.6</v>
      </c>
      <c r="H268" s="68">
        <f>H273+H279+H285</f>
        <v>6259532.9480000008</v>
      </c>
      <c r="I268" s="68">
        <f>I285</f>
        <v>1453.5</v>
      </c>
      <c r="J268" s="68">
        <f>J285</f>
        <v>1453.5</v>
      </c>
      <c r="K268" s="68">
        <v>0</v>
      </c>
      <c r="L268" s="69">
        <f>J268/H268</f>
        <v>2.3220582303419481E-4</v>
      </c>
      <c r="M268" s="282"/>
      <c r="N268" s="263"/>
      <c r="O268" s="31"/>
      <c r="P268" s="31"/>
      <c r="Q268" s="31"/>
    </row>
    <row r="269" spans="1:17" x14ac:dyDescent="0.25">
      <c r="A269" s="191"/>
      <c r="B269" s="191"/>
      <c r="C269" s="191"/>
      <c r="D269" s="191"/>
      <c r="E269" s="191"/>
      <c r="F269" s="34" t="s">
        <v>109</v>
      </c>
      <c r="G269" s="68">
        <v>0</v>
      </c>
      <c r="H269" s="68">
        <v>0</v>
      </c>
      <c r="I269" s="68">
        <v>0</v>
      </c>
      <c r="J269" s="68">
        <v>0</v>
      </c>
      <c r="K269" s="68">
        <v>0</v>
      </c>
      <c r="L269" s="69">
        <v>0</v>
      </c>
      <c r="M269" s="282"/>
      <c r="N269" s="263"/>
      <c r="O269" s="31"/>
      <c r="P269" s="31"/>
      <c r="Q269" s="31"/>
    </row>
    <row r="270" spans="1:17" x14ac:dyDescent="0.25">
      <c r="A270" s="191"/>
      <c r="B270" s="191"/>
      <c r="C270" s="191"/>
      <c r="D270" s="191"/>
      <c r="E270" s="191"/>
      <c r="F270" s="34" t="s">
        <v>10</v>
      </c>
      <c r="G270" s="68">
        <v>0</v>
      </c>
      <c r="H270" s="68">
        <v>0</v>
      </c>
      <c r="I270" s="68">
        <v>0</v>
      </c>
      <c r="J270" s="68">
        <v>0</v>
      </c>
      <c r="K270" s="68">
        <v>0</v>
      </c>
      <c r="L270" s="69" t="s">
        <v>276</v>
      </c>
      <c r="M270" s="282"/>
      <c r="N270" s="263"/>
      <c r="O270" s="31"/>
      <c r="P270" s="31"/>
      <c r="Q270" s="31"/>
    </row>
    <row r="271" spans="1:17" x14ac:dyDescent="0.25">
      <c r="A271" s="139" t="s">
        <v>277</v>
      </c>
      <c r="B271" s="140"/>
      <c r="C271" s="140"/>
      <c r="D271" s="140"/>
      <c r="E271" s="140"/>
      <c r="F271" s="140"/>
      <c r="G271" s="140"/>
      <c r="H271" s="140"/>
      <c r="I271" s="140"/>
      <c r="J271" s="140"/>
      <c r="K271" s="140"/>
      <c r="L271" s="140"/>
      <c r="M271" s="140"/>
      <c r="N271" s="140"/>
      <c r="O271" s="31"/>
      <c r="P271" s="31"/>
      <c r="Q271" s="31"/>
    </row>
    <row r="272" spans="1:17" x14ac:dyDescent="0.25">
      <c r="A272" s="279" t="s">
        <v>278</v>
      </c>
      <c r="B272" s="220" t="s">
        <v>279</v>
      </c>
      <c r="C272" s="227" t="s">
        <v>280</v>
      </c>
      <c r="D272" s="228" t="s">
        <v>281</v>
      </c>
      <c r="E272" s="75">
        <v>1240260.6000000001</v>
      </c>
      <c r="F272" s="43" t="s">
        <v>6</v>
      </c>
      <c r="G272" s="40">
        <f t="shared" ref="G272:K272" si="50">SUM(G273:G276)</f>
        <v>1187720.6000000001</v>
      </c>
      <c r="H272" s="40">
        <f t="shared" si="50"/>
        <v>52540</v>
      </c>
      <c r="I272" s="40">
        <f t="shared" si="50"/>
        <v>0</v>
      </c>
      <c r="J272" s="40">
        <f t="shared" si="50"/>
        <v>0</v>
      </c>
      <c r="K272" s="40">
        <f t="shared" si="50"/>
        <v>0</v>
      </c>
      <c r="L272" s="49">
        <f t="shared" ref="L272:L276" si="51">IFERROR(J272/H272,0)</f>
        <v>0</v>
      </c>
      <c r="M272" s="231">
        <v>0.55000000000000004</v>
      </c>
      <c r="N272" s="233" t="s">
        <v>282</v>
      </c>
      <c r="O272" s="46"/>
      <c r="P272" s="46"/>
      <c r="Q272" s="46"/>
    </row>
    <row r="273" spans="1:17" x14ac:dyDescent="0.25">
      <c r="A273" s="279"/>
      <c r="B273" s="220"/>
      <c r="C273" s="227"/>
      <c r="D273" s="229"/>
      <c r="E273" s="215" t="s">
        <v>172</v>
      </c>
      <c r="F273" s="43" t="s">
        <v>8</v>
      </c>
      <c r="G273" s="47">
        <v>1187720.6000000001</v>
      </c>
      <c r="H273" s="40">
        <v>52540</v>
      </c>
      <c r="I273" s="40">
        <v>0</v>
      </c>
      <c r="J273" s="40">
        <v>0</v>
      </c>
      <c r="K273" s="40">
        <v>0</v>
      </c>
      <c r="L273" s="49">
        <f t="shared" si="51"/>
        <v>0</v>
      </c>
      <c r="M273" s="232"/>
      <c r="N273" s="233"/>
      <c r="O273" s="76"/>
      <c r="P273" s="46"/>
      <c r="Q273" s="46"/>
    </row>
    <row r="274" spans="1:17" x14ac:dyDescent="0.25">
      <c r="A274" s="279"/>
      <c r="B274" s="220"/>
      <c r="C274" s="227"/>
      <c r="D274" s="229"/>
      <c r="E274" s="216"/>
      <c r="F274" s="43" t="s">
        <v>9</v>
      </c>
      <c r="G274" s="47">
        <v>0</v>
      </c>
      <c r="H274" s="40">
        <v>0</v>
      </c>
      <c r="I274" s="40">
        <v>0</v>
      </c>
      <c r="J274" s="40">
        <v>0</v>
      </c>
      <c r="K274" s="40">
        <v>0</v>
      </c>
      <c r="L274" s="49">
        <f t="shared" si="51"/>
        <v>0</v>
      </c>
      <c r="M274" s="232"/>
      <c r="N274" s="233"/>
      <c r="O274" s="46"/>
      <c r="P274" s="46"/>
      <c r="Q274" s="46"/>
    </row>
    <row r="275" spans="1:17" x14ac:dyDescent="0.25">
      <c r="A275" s="279"/>
      <c r="B275" s="220"/>
      <c r="C275" s="227"/>
      <c r="D275" s="229"/>
      <c r="E275" s="216"/>
      <c r="F275" s="43" t="s">
        <v>10</v>
      </c>
      <c r="G275" s="47">
        <v>0</v>
      </c>
      <c r="H275" s="40">
        <v>0</v>
      </c>
      <c r="I275" s="40">
        <v>0</v>
      </c>
      <c r="J275" s="40">
        <v>0</v>
      </c>
      <c r="K275" s="40">
        <v>0</v>
      </c>
      <c r="L275" s="49">
        <f t="shared" si="51"/>
        <v>0</v>
      </c>
      <c r="M275" s="232"/>
      <c r="N275" s="233"/>
      <c r="O275" s="46"/>
      <c r="P275" s="46"/>
      <c r="Q275" s="46"/>
    </row>
    <row r="276" spans="1:17" x14ac:dyDescent="0.25">
      <c r="A276" s="279"/>
      <c r="B276" s="220"/>
      <c r="C276" s="227"/>
      <c r="D276" s="230"/>
      <c r="E276" s="217"/>
      <c r="F276" s="43" t="s">
        <v>11</v>
      </c>
      <c r="G276" s="47">
        <v>0</v>
      </c>
      <c r="H276" s="40">
        <v>0</v>
      </c>
      <c r="I276" s="40">
        <v>0</v>
      </c>
      <c r="J276" s="40">
        <v>0</v>
      </c>
      <c r="K276" s="40">
        <v>0</v>
      </c>
      <c r="L276" s="49">
        <f t="shared" si="51"/>
        <v>0</v>
      </c>
      <c r="M276" s="232"/>
      <c r="N276" s="233"/>
      <c r="O276" s="46"/>
      <c r="P276" s="46"/>
      <c r="Q276" s="46"/>
    </row>
    <row r="277" spans="1:17" x14ac:dyDescent="0.25">
      <c r="A277" s="139" t="s">
        <v>283</v>
      </c>
      <c r="B277" s="140"/>
      <c r="C277" s="140"/>
      <c r="D277" s="140"/>
      <c r="E277" s="140"/>
      <c r="F277" s="140"/>
      <c r="G277" s="140"/>
      <c r="H277" s="140"/>
      <c r="I277" s="140"/>
      <c r="J277" s="140"/>
      <c r="K277" s="140"/>
      <c r="L277" s="140"/>
      <c r="M277" s="140"/>
      <c r="N277" s="140"/>
      <c r="O277" s="31"/>
      <c r="P277" s="31"/>
      <c r="Q277" s="31"/>
    </row>
    <row r="278" spans="1:17" x14ac:dyDescent="0.25">
      <c r="A278" s="279" t="s">
        <v>284</v>
      </c>
      <c r="B278" s="220" t="s">
        <v>285</v>
      </c>
      <c r="C278" s="227" t="s">
        <v>280</v>
      </c>
      <c r="D278" s="228" t="s">
        <v>286</v>
      </c>
      <c r="E278" s="75">
        <v>7690000</v>
      </c>
      <c r="F278" s="43" t="s">
        <v>6</v>
      </c>
      <c r="G278" s="40">
        <f t="shared" ref="G278:K278" si="52">SUM(G279:G282)</f>
        <v>1500000</v>
      </c>
      <c r="H278" s="40">
        <f t="shared" si="52"/>
        <v>6175888.0480000004</v>
      </c>
      <c r="I278" s="40">
        <f t="shared" si="52"/>
        <v>0</v>
      </c>
      <c r="J278" s="40">
        <f t="shared" si="52"/>
        <v>0</v>
      </c>
      <c r="K278" s="40">
        <f t="shared" si="52"/>
        <v>0</v>
      </c>
      <c r="L278" s="49">
        <f t="shared" ref="L278:L282" si="53">IFERROR(J278/H278,0)</f>
        <v>0</v>
      </c>
      <c r="M278" s="231">
        <v>0.19500000000000001</v>
      </c>
      <c r="N278" s="233" t="s">
        <v>287</v>
      </c>
      <c r="O278" s="46"/>
      <c r="P278" s="46"/>
      <c r="Q278" s="46"/>
    </row>
    <row r="279" spans="1:17" x14ac:dyDescent="0.25">
      <c r="A279" s="279"/>
      <c r="B279" s="220"/>
      <c r="C279" s="227"/>
      <c r="D279" s="229"/>
      <c r="E279" s="215" t="s">
        <v>172</v>
      </c>
      <c r="F279" s="43" t="s">
        <v>8</v>
      </c>
      <c r="G279" s="47">
        <v>1500000</v>
      </c>
      <c r="H279" s="40">
        <v>6175888.0480000004</v>
      </c>
      <c r="I279" s="40">
        <v>0</v>
      </c>
      <c r="J279" s="40">
        <v>0</v>
      </c>
      <c r="K279" s="40">
        <v>0</v>
      </c>
      <c r="L279" s="49">
        <f t="shared" si="53"/>
        <v>0</v>
      </c>
      <c r="M279" s="232"/>
      <c r="N279" s="233"/>
      <c r="O279" s="46"/>
      <c r="P279" s="46"/>
      <c r="Q279" s="46"/>
    </row>
    <row r="280" spans="1:17" x14ac:dyDescent="0.25">
      <c r="A280" s="279"/>
      <c r="B280" s="220"/>
      <c r="C280" s="227"/>
      <c r="D280" s="229"/>
      <c r="E280" s="216"/>
      <c r="F280" s="43" t="s">
        <v>9</v>
      </c>
      <c r="G280" s="47">
        <v>0</v>
      </c>
      <c r="H280" s="40">
        <v>0</v>
      </c>
      <c r="I280" s="40">
        <v>0</v>
      </c>
      <c r="J280" s="40">
        <v>0</v>
      </c>
      <c r="K280" s="40">
        <v>0</v>
      </c>
      <c r="L280" s="49">
        <f t="shared" si="53"/>
        <v>0</v>
      </c>
      <c r="M280" s="232"/>
      <c r="N280" s="233"/>
      <c r="O280" s="76"/>
      <c r="P280" s="46"/>
      <c r="Q280" s="46"/>
    </row>
    <row r="281" spans="1:17" x14ac:dyDescent="0.25">
      <c r="A281" s="279"/>
      <c r="B281" s="220"/>
      <c r="C281" s="227"/>
      <c r="D281" s="229"/>
      <c r="E281" s="216"/>
      <c r="F281" s="43" t="s">
        <v>10</v>
      </c>
      <c r="G281" s="47">
        <v>0</v>
      </c>
      <c r="H281" s="40">
        <v>0</v>
      </c>
      <c r="I281" s="40">
        <v>0</v>
      </c>
      <c r="J281" s="40">
        <v>0</v>
      </c>
      <c r="K281" s="40">
        <v>0</v>
      </c>
      <c r="L281" s="49">
        <f t="shared" si="53"/>
        <v>0</v>
      </c>
      <c r="M281" s="232"/>
      <c r="N281" s="233"/>
      <c r="O281" s="46"/>
      <c r="P281" s="46"/>
      <c r="Q281" s="46"/>
    </row>
    <row r="282" spans="1:17" x14ac:dyDescent="0.25">
      <c r="A282" s="279"/>
      <c r="B282" s="220"/>
      <c r="C282" s="227"/>
      <c r="D282" s="230"/>
      <c r="E282" s="217"/>
      <c r="F282" s="43" t="s">
        <v>11</v>
      </c>
      <c r="G282" s="47">
        <v>0</v>
      </c>
      <c r="H282" s="40">
        <v>0</v>
      </c>
      <c r="I282" s="40">
        <v>0</v>
      </c>
      <c r="J282" s="40">
        <v>0</v>
      </c>
      <c r="K282" s="40">
        <v>0</v>
      </c>
      <c r="L282" s="49">
        <f t="shared" si="53"/>
        <v>0</v>
      </c>
      <c r="M282" s="232"/>
      <c r="N282" s="233"/>
      <c r="O282" s="46"/>
      <c r="P282" s="46"/>
      <c r="Q282" s="46"/>
    </row>
    <row r="283" spans="1:17" ht="15" customHeight="1" x14ac:dyDescent="0.25">
      <c r="A283" s="290" t="s">
        <v>288</v>
      </c>
      <c r="B283" s="290"/>
      <c r="C283" s="290"/>
      <c r="D283" s="290"/>
      <c r="E283" s="290"/>
      <c r="F283" s="290"/>
      <c r="G283" s="290"/>
      <c r="H283" s="290"/>
      <c r="I283" s="290"/>
      <c r="J283" s="290"/>
      <c r="K283" s="290"/>
      <c r="L283" s="290"/>
      <c r="M283" s="290"/>
      <c r="N283" s="290"/>
      <c r="O283" s="80"/>
      <c r="P283" s="80"/>
      <c r="Q283" s="80"/>
    </row>
    <row r="284" spans="1:17" x14ac:dyDescent="0.25">
      <c r="A284" s="279" t="s">
        <v>289</v>
      </c>
      <c r="B284" s="220" t="s">
        <v>290</v>
      </c>
      <c r="C284" s="227" t="s">
        <v>291</v>
      </c>
      <c r="D284" s="218" t="s">
        <v>292</v>
      </c>
      <c r="E284" s="224" t="s">
        <v>276</v>
      </c>
      <c r="F284" s="43" t="s">
        <v>6</v>
      </c>
      <c r="G284" s="40">
        <f t="shared" ref="G284:K284" si="54">SUM(G285:G288)</f>
        <v>0</v>
      </c>
      <c r="H284" s="40">
        <f t="shared" si="54"/>
        <v>31104.9</v>
      </c>
      <c r="I284" s="40">
        <f t="shared" si="54"/>
        <v>1453.5</v>
      </c>
      <c r="J284" s="40">
        <f t="shared" si="54"/>
        <v>1453.5</v>
      </c>
      <c r="K284" s="40">
        <f t="shared" si="54"/>
        <v>0</v>
      </c>
      <c r="L284" s="49">
        <f t="shared" ref="L284:L288" si="55">IFERROR(J284/H284,0)</f>
        <v>4.6728971962616821E-2</v>
      </c>
      <c r="M284" s="284" t="s">
        <v>276</v>
      </c>
      <c r="N284" s="287" t="s">
        <v>293</v>
      </c>
      <c r="O284" s="46"/>
      <c r="P284" s="46"/>
      <c r="Q284" s="46"/>
    </row>
    <row r="285" spans="1:17" x14ac:dyDescent="0.25">
      <c r="A285" s="279"/>
      <c r="B285" s="220"/>
      <c r="C285" s="227"/>
      <c r="D285" s="283"/>
      <c r="E285" s="283"/>
      <c r="F285" s="43" t="s">
        <v>8</v>
      </c>
      <c r="G285" s="47">
        <v>0</v>
      </c>
      <c r="H285" s="40">
        <v>31104.9</v>
      </c>
      <c r="I285" s="40">
        <v>1453.5</v>
      </c>
      <c r="J285" s="40">
        <f>I285</f>
        <v>1453.5</v>
      </c>
      <c r="K285" s="40">
        <v>0</v>
      </c>
      <c r="L285" s="49">
        <f t="shared" si="55"/>
        <v>4.6728971962616821E-2</v>
      </c>
      <c r="M285" s="285"/>
      <c r="N285" s="288"/>
      <c r="O285" s="46"/>
      <c r="P285" s="46"/>
      <c r="Q285" s="46"/>
    </row>
    <row r="286" spans="1:17" x14ac:dyDescent="0.25">
      <c r="A286" s="279"/>
      <c r="B286" s="220"/>
      <c r="C286" s="227"/>
      <c r="D286" s="283"/>
      <c r="E286" s="283"/>
      <c r="F286" s="43" t="s">
        <v>9</v>
      </c>
      <c r="G286" s="47">
        <v>0</v>
      </c>
      <c r="H286" s="40">
        <v>0</v>
      </c>
      <c r="I286" s="40">
        <v>0</v>
      </c>
      <c r="J286" s="40">
        <v>0</v>
      </c>
      <c r="K286" s="40">
        <v>0</v>
      </c>
      <c r="L286" s="49">
        <f t="shared" si="55"/>
        <v>0</v>
      </c>
      <c r="M286" s="285"/>
      <c r="N286" s="288"/>
      <c r="O286" s="46"/>
      <c r="P286" s="46"/>
      <c r="Q286" s="46"/>
    </row>
    <row r="287" spans="1:17" x14ac:dyDescent="0.25">
      <c r="A287" s="279"/>
      <c r="B287" s="220"/>
      <c r="C287" s="227"/>
      <c r="D287" s="283"/>
      <c r="E287" s="283"/>
      <c r="F287" s="43" t="s">
        <v>10</v>
      </c>
      <c r="G287" s="47">
        <v>0</v>
      </c>
      <c r="H287" s="40">
        <v>0</v>
      </c>
      <c r="I287" s="40">
        <v>0</v>
      </c>
      <c r="J287" s="40">
        <v>0</v>
      </c>
      <c r="K287" s="40">
        <v>0</v>
      </c>
      <c r="L287" s="49">
        <f t="shared" si="55"/>
        <v>0</v>
      </c>
      <c r="M287" s="285"/>
      <c r="N287" s="288"/>
      <c r="O287" s="46"/>
      <c r="P287" s="46"/>
      <c r="Q287" s="46"/>
    </row>
    <row r="288" spans="1:17" x14ac:dyDescent="0.25">
      <c r="A288" s="279">
        <v>3</v>
      </c>
      <c r="B288" s="220" t="s">
        <v>177</v>
      </c>
      <c r="C288" s="227"/>
      <c r="D288" s="283"/>
      <c r="E288" s="283"/>
      <c r="F288" s="43" t="s">
        <v>11</v>
      </c>
      <c r="G288" s="47">
        <v>0</v>
      </c>
      <c r="H288" s="40">
        <v>0</v>
      </c>
      <c r="I288" s="40">
        <v>0</v>
      </c>
      <c r="J288" s="40">
        <v>0</v>
      </c>
      <c r="K288" s="40">
        <v>0</v>
      </c>
      <c r="L288" s="49">
        <f t="shared" si="55"/>
        <v>0</v>
      </c>
      <c r="M288" s="286"/>
      <c r="N288" s="289"/>
      <c r="O288" s="46"/>
      <c r="P288" s="46"/>
      <c r="Q288" s="46"/>
    </row>
  </sheetData>
  <mergeCells count="381">
    <mergeCell ref="A284:A288"/>
    <mergeCell ref="B284:B288"/>
    <mergeCell ref="C284:C288"/>
    <mergeCell ref="D284:D288"/>
    <mergeCell ref="E284:E288"/>
    <mergeCell ref="M284:M288"/>
    <mergeCell ref="N284:N288"/>
    <mergeCell ref="A283:N283"/>
    <mergeCell ref="A277:N277"/>
    <mergeCell ref="A278:A282"/>
    <mergeCell ref="B278:B282"/>
    <mergeCell ref="C278:C282"/>
    <mergeCell ref="D278:D282"/>
    <mergeCell ref="M278:M282"/>
    <mergeCell ref="N278:N282"/>
    <mergeCell ref="E279:E282"/>
    <mergeCell ref="A272:A276"/>
    <mergeCell ref="B272:B276"/>
    <mergeCell ref="C272:C276"/>
    <mergeCell ref="D272:D276"/>
    <mergeCell ref="M272:M276"/>
    <mergeCell ref="N272:N276"/>
    <mergeCell ref="E273:E276"/>
    <mergeCell ref="M262:M266"/>
    <mergeCell ref="N262:N266"/>
    <mergeCell ref="A267:E270"/>
    <mergeCell ref="M267:M270"/>
    <mergeCell ref="N267:N270"/>
    <mergeCell ref="A271:N271"/>
    <mergeCell ref="N253:N257"/>
    <mergeCell ref="A258:E260"/>
    <mergeCell ref="M258:M260"/>
    <mergeCell ref="N258:N260"/>
    <mergeCell ref="A261:N261"/>
    <mergeCell ref="A262:A266"/>
    <mergeCell ref="B262:B266"/>
    <mergeCell ref="C262:C266"/>
    <mergeCell ref="D262:D266"/>
    <mergeCell ref="E262:E266"/>
    <mergeCell ref="A253:A257"/>
    <mergeCell ref="B253:B257"/>
    <mergeCell ref="C253:C257"/>
    <mergeCell ref="D253:D257"/>
    <mergeCell ref="E253:E257"/>
    <mergeCell ref="M253:M257"/>
    <mergeCell ref="N243:N247"/>
    <mergeCell ref="A248:A252"/>
    <mergeCell ref="B248:B252"/>
    <mergeCell ref="C248:C252"/>
    <mergeCell ref="D248:D252"/>
    <mergeCell ref="E248:E252"/>
    <mergeCell ref="M248:M252"/>
    <mergeCell ref="N248:N252"/>
    <mergeCell ref="A243:A247"/>
    <mergeCell ref="B243:B247"/>
    <mergeCell ref="C243:C247"/>
    <mergeCell ref="D243:D247"/>
    <mergeCell ref="E243:E247"/>
    <mergeCell ref="M243:M247"/>
    <mergeCell ref="A237:N237"/>
    <mergeCell ref="A238:A242"/>
    <mergeCell ref="B238:B242"/>
    <mergeCell ref="C238:C242"/>
    <mergeCell ref="D238:D242"/>
    <mergeCell ref="E238:E242"/>
    <mergeCell ref="M238:M242"/>
    <mergeCell ref="N238:N242"/>
    <mergeCell ref="N227:N231"/>
    <mergeCell ref="A232:A236"/>
    <mergeCell ref="B232:B236"/>
    <mergeCell ref="C232:C236"/>
    <mergeCell ref="D232:D236"/>
    <mergeCell ref="E232:E236"/>
    <mergeCell ref="M232:M236"/>
    <mergeCell ref="N232:N236"/>
    <mergeCell ref="A227:A231"/>
    <mergeCell ref="B227:B231"/>
    <mergeCell ref="C227:C231"/>
    <mergeCell ref="D227:D231"/>
    <mergeCell ref="E227:E231"/>
    <mergeCell ref="M227:M231"/>
    <mergeCell ref="N217:N221"/>
    <mergeCell ref="A222:A226"/>
    <mergeCell ref="B222:B226"/>
    <mergeCell ref="C222:C226"/>
    <mergeCell ref="D222:D226"/>
    <mergeCell ref="E222:E226"/>
    <mergeCell ref="M222:M226"/>
    <mergeCell ref="N222:N226"/>
    <mergeCell ref="A217:A221"/>
    <mergeCell ref="B217:B221"/>
    <mergeCell ref="C217:C221"/>
    <mergeCell ref="D217:D221"/>
    <mergeCell ref="E217:E221"/>
    <mergeCell ref="M217:M221"/>
    <mergeCell ref="N207:N211"/>
    <mergeCell ref="A212:A216"/>
    <mergeCell ref="B212:B216"/>
    <mergeCell ref="C212:C216"/>
    <mergeCell ref="D212:D216"/>
    <mergeCell ref="E212:E216"/>
    <mergeCell ref="M212:M216"/>
    <mergeCell ref="N212:N216"/>
    <mergeCell ref="A207:A211"/>
    <mergeCell ref="B207:B211"/>
    <mergeCell ref="C207:C211"/>
    <mergeCell ref="D207:D211"/>
    <mergeCell ref="E207:E211"/>
    <mergeCell ref="M207:M211"/>
    <mergeCell ref="N197:N201"/>
    <mergeCell ref="A202:A206"/>
    <mergeCell ref="B202:B206"/>
    <mergeCell ref="C202:C206"/>
    <mergeCell ref="D202:D206"/>
    <mergeCell ref="E202:E206"/>
    <mergeCell ref="M202:M206"/>
    <mergeCell ref="N202:N206"/>
    <mergeCell ref="A197:A201"/>
    <mergeCell ref="B197:B201"/>
    <mergeCell ref="C197:C201"/>
    <mergeCell ref="D197:D201"/>
    <mergeCell ref="E197:E201"/>
    <mergeCell ref="M197:M201"/>
    <mergeCell ref="L170:L174"/>
    <mergeCell ref="N186:N190"/>
    <mergeCell ref="A191:N191"/>
    <mergeCell ref="A192:A196"/>
    <mergeCell ref="B192:B196"/>
    <mergeCell ref="C192:C196"/>
    <mergeCell ref="D192:D196"/>
    <mergeCell ref="E192:E196"/>
    <mergeCell ref="M192:M196"/>
    <mergeCell ref="N192:N196"/>
    <mergeCell ref="A186:A190"/>
    <mergeCell ref="B186:B190"/>
    <mergeCell ref="C186:C190"/>
    <mergeCell ref="D186:D190"/>
    <mergeCell ref="E186:E190"/>
    <mergeCell ref="M186:M190"/>
    <mergeCell ref="M160:M164"/>
    <mergeCell ref="A180:N180"/>
    <mergeCell ref="A181:A185"/>
    <mergeCell ref="B181:B185"/>
    <mergeCell ref="C181:C185"/>
    <mergeCell ref="D181:D185"/>
    <mergeCell ref="E181:E185"/>
    <mergeCell ref="M181:M185"/>
    <mergeCell ref="N181:N185"/>
    <mergeCell ref="M170:M174"/>
    <mergeCell ref="N170:N174"/>
    <mergeCell ref="A175:A179"/>
    <mergeCell ref="B175:B179"/>
    <mergeCell ref="C175:C179"/>
    <mergeCell ref="D175:D179"/>
    <mergeCell ref="E175:E179"/>
    <mergeCell ref="L175:L179"/>
    <mergeCell ref="M175:M179"/>
    <mergeCell ref="N175:N179"/>
    <mergeCell ref="A170:A174"/>
    <mergeCell ref="B170:B174"/>
    <mergeCell ref="C170:C174"/>
    <mergeCell ref="D170:D174"/>
    <mergeCell ref="E170:E174"/>
    <mergeCell ref="A149:A153"/>
    <mergeCell ref="B149:B153"/>
    <mergeCell ref="C149:C153"/>
    <mergeCell ref="D149:D153"/>
    <mergeCell ref="E149:E153"/>
    <mergeCell ref="M149:M153"/>
    <mergeCell ref="N149:N153"/>
    <mergeCell ref="N160:N164"/>
    <mergeCell ref="A165:A169"/>
    <mergeCell ref="B165:B169"/>
    <mergeCell ref="C165:C169"/>
    <mergeCell ref="D165:D169"/>
    <mergeCell ref="E165:E169"/>
    <mergeCell ref="M165:M169"/>
    <mergeCell ref="N165:N169"/>
    <mergeCell ref="A154:E158"/>
    <mergeCell ref="M154:M158"/>
    <mergeCell ref="N154:N158"/>
    <mergeCell ref="A159:N159"/>
    <mergeCell ref="A160:A164"/>
    <mergeCell ref="B160:B164"/>
    <mergeCell ref="C160:C164"/>
    <mergeCell ref="D160:D164"/>
    <mergeCell ref="E160:E164"/>
    <mergeCell ref="E140:E143"/>
    <mergeCell ref="A144:A148"/>
    <mergeCell ref="B144:B148"/>
    <mergeCell ref="C144:C148"/>
    <mergeCell ref="D144:D148"/>
    <mergeCell ref="E144:E148"/>
    <mergeCell ref="A133:E137"/>
    <mergeCell ref="M133:M137"/>
    <mergeCell ref="N133:N137"/>
    <mergeCell ref="A138:N138"/>
    <mergeCell ref="A139:A143"/>
    <mergeCell ref="B139:B143"/>
    <mergeCell ref="C139:C143"/>
    <mergeCell ref="D139:D143"/>
    <mergeCell ref="M139:M143"/>
    <mergeCell ref="N139:N143"/>
    <mergeCell ref="M144:M148"/>
    <mergeCell ref="N144:N148"/>
    <mergeCell ref="A118:A122"/>
    <mergeCell ref="B118:B122"/>
    <mergeCell ref="C118:C122"/>
    <mergeCell ref="D118:D122"/>
    <mergeCell ref="E118:E122"/>
    <mergeCell ref="M118:M122"/>
    <mergeCell ref="N118:N122"/>
    <mergeCell ref="N123:N127"/>
    <mergeCell ref="A128:A132"/>
    <mergeCell ref="B128:B132"/>
    <mergeCell ref="C128:C132"/>
    <mergeCell ref="D128:D132"/>
    <mergeCell ref="E128:E132"/>
    <mergeCell ref="M128:M132"/>
    <mergeCell ref="N128:N132"/>
    <mergeCell ref="A123:A127"/>
    <mergeCell ref="B123:B127"/>
    <mergeCell ref="C123:C127"/>
    <mergeCell ref="D123:D127"/>
    <mergeCell ref="E123:E127"/>
    <mergeCell ref="M123:M127"/>
    <mergeCell ref="N102:N106"/>
    <mergeCell ref="A107:E111"/>
    <mergeCell ref="M107:M111"/>
    <mergeCell ref="N107:N111"/>
    <mergeCell ref="A112:N112"/>
    <mergeCell ref="A113:A117"/>
    <mergeCell ref="B113:B117"/>
    <mergeCell ref="C113:C117"/>
    <mergeCell ref="D113:D117"/>
    <mergeCell ref="E113:E117"/>
    <mergeCell ref="A102:A106"/>
    <mergeCell ref="B102:B106"/>
    <mergeCell ref="C102:C106"/>
    <mergeCell ref="D102:D106"/>
    <mergeCell ref="E102:E106"/>
    <mergeCell ref="M102:M106"/>
    <mergeCell ref="M113:M117"/>
    <mergeCell ref="N113:N117"/>
    <mergeCell ref="N92:N96"/>
    <mergeCell ref="A97:A101"/>
    <mergeCell ref="B97:B101"/>
    <mergeCell ref="C97:C101"/>
    <mergeCell ref="D97:D101"/>
    <mergeCell ref="E97:E101"/>
    <mergeCell ref="M97:M101"/>
    <mergeCell ref="N97:N101"/>
    <mergeCell ref="A92:A96"/>
    <mergeCell ref="B92:B96"/>
    <mergeCell ref="C92:C96"/>
    <mergeCell ref="D92:D96"/>
    <mergeCell ref="E92:E96"/>
    <mergeCell ref="M92:M96"/>
    <mergeCell ref="N82:N86"/>
    <mergeCell ref="A87:A91"/>
    <mergeCell ref="B87:B91"/>
    <mergeCell ref="C87:C91"/>
    <mergeCell ref="D87:D91"/>
    <mergeCell ref="E87:E91"/>
    <mergeCell ref="M87:M91"/>
    <mergeCell ref="N87:N91"/>
    <mergeCell ref="A82:A86"/>
    <mergeCell ref="B82:B86"/>
    <mergeCell ref="C82:C86"/>
    <mergeCell ref="D82:D86"/>
    <mergeCell ref="E82:E86"/>
    <mergeCell ref="M82:M86"/>
    <mergeCell ref="N72:N76"/>
    <mergeCell ref="A77:A81"/>
    <mergeCell ref="B77:B81"/>
    <mergeCell ref="C77:C81"/>
    <mergeCell ref="D77:D81"/>
    <mergeCell ref="E77:E81"/>
    <mergeCell ref="M77:M81"/>
    <mergeCell ref="N77:N81"/>
    <mergeCell ref="A72:A76"/>
    <mergeCell ref="B72:B76"/>
    <mergeCell ref="C72:C76"/>
    <mergeCell ref="D72:D76"/>
    <mergeCell ref="E72:E76"/>
    <mergeCell ref="M72:M76"/>
    <mergeCell ref="N62:N66"/>
    <mergeCell ref="A67:A71"/>
    <mergeCell ref="B67:B71"/>
    <mergeCell ref="C67:C71"/>
    <mergeCell ref="D67:D71"/>
    <mergeCell ref="E67:E71"/>
    <mergeCell ref="M67:M71"/>
    <mergeCell ref="N67:N71"/>
    <mergeCell ref="A62:A66"/>
    <mergeCell ref="B62:B66"/>
    <mergeCell ref="C62:C66"/>
    <mergeCell ref="D62:D66"/>
    <mergeCell ref="E62:E66"/>
    <mergeCell ref="M62:M66"/>
    <mergeCell ref="N51:N55"/>
    <mergeCell ref="A56:N56"/>
    <mergeCell ref="A57:A61"/>
    <mergeCell ref="B57:B61"/>
    <mergeCell ref="C57:C61"/>
    <mergeCell ref="D57:D61"/>
    <mergeCell ref="E57:E61"/>
    <mergeCell ref="M57:M61"/>
    <mergeCell ref="N57:N61"/>
    <mergeCell ref="A51:A55"/>
    <mergeCell ref="B51:B55"/>
    <mergeCell ref="C51:C55"/>
    <mergeCell ref="D51:D55"/>
    <mergeCell ref="E51:E55"/>
    <mergeCell ref="M51:M55"/>
    <mergeCell ref="N41:N45"/>
    <mergeCell ref="A46:A50"/>
    <mergeCell ref="B46:B50"/>
    <mergeCell ref="C46:C50"/>
    <mergeCell ref="D46:D50"/>
    <mergeCell ref="E46:E50"/>
    <mergeCell ref="M46:M50"/>
    <mergeCell ref="N46:N50"/>
    <mergeCell ref="A41:A45"/>
    <mergeCell ref="B41:B45"/>
    <mergeCell ref="C41:C45"/>
    <mergeCell ref="D41:D45"/>
    <mergeCell ref="E41:E45"/>
    <mergeCell ref="M41:M45"/>
    <mergeCell ref="N31:N35"/>
    <mergeCell ref="A36:A40"/>
    <mergeCell ref="B36:B40"/>
    <mergeCell ref="C36:C40"/>
    <mergeCell ref="D36:D40"/>
    <mergeCell ref="E36:E40"/>
    <mergeCell ref="M36:M40"/>
    <mergeCell ref="N36:N40"/>
    <mergeCell ref="A31:A35"/>
    <mergeCell ref="B31:B35"/>
    <mergeCell ref="C31:C35"/>
    <mergeCell ref="D31:D35"/>
    <mergeCell ref="E31:E35"/>
    <mergeCell ref="M31:M35"/>
    <mergeCell ref="M20:M24"/>
    <mergeCell ref="N20:N24"/>
    <mergeCell ref="A25:E29"/>
    <mergeCell ref="M25:M29"/>
    <mergeCell ref="N25:N29"/>
    <mergeCell ref="A30:N30"/>
    <mergeCell ref="A20:A24"/>
    <mergeCell ref="B20:B24"/>
    <mergeCell ref="C20:C24"/>
    <mergeCell ref="D20:D24"/>
    <mergeCell ref="E20:E24"/>
    <mergeCell ref="L20:L24"/>
    <mergeCell ref="A14:N14"/>
    <mergeCell ref="A15:A19"/>
    <mergeCell ref="B15:B19"/>
    <mergeCell ref="C15:C19"/>
    <mergeCell ref="D15:D19"/>
    <mergeCell ref="E15:E19"/>
    <mergeCell ref="L15:L19"/>
    <mergeCell ref="M15:M19"/>
    <mergeCell ref="N15:N19"/>
    <mergeCell ref="N3:N4"/>
    <mergeCell ref="A5:E9"/>
    <mergeCell ref="M5:M9"/>
    <mergeCell ref="N5:N9"/>
    <mergeCell ref="A10:E13"/>
    <mergeCell ref="M10:M13"/>
    <mergeCell ref="N10:N13"/>
    <mergeCell ref="A2:N2"/>
    <mergeCell ref="A3:A4"/>
    <mergeCell ref="B3:B4"/>
    <mergeCell ref="C3:C4"/>
    <mergeCell ref="D3:D4"/>
    <mergeCell ref="E3:E4"/>
    <mergeCell ref="F3:F4"/>
    <mergeCell ref="G3:G4"/>
    <mergeCell ref="H3:L3"/>
    <mergeCell ref="M3:M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 реализация ГП</vt:lpstr>
      <vt:lpstr>Прил 2 ОКС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2025-08-21T13:35:14Z</dcterms:modified>
</cp:coreProperties>
</file>